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mc962/Downloads/"/>
    </mc:Choice>
  </mc:AlternateContent>
  <xr:revisionPtr revIDLastSave="0" documentId="13_ncr:1_{0733E5EA-7DA5-9E4D-9296-9012E30BA668}" xr6:coauthVersionLast="47" xr6:coauthVersionMax="47" xr10:uidLastSave="{00000000-0000-0000-0000-000000000000}"/>
  <bookViews>
    <workbookView xWindow="0" yWindow="500" windowWidth="28800" windowHeight="16640" tabRatio="732" activeTab="1" xr2:uid="{00000000-000D-0000-FFFF-FFFF00000000}"/>
  </bookViews>
  <sheets>
    <sheet name="data_and_report" sheetId="1" r:id="rId1"/>
    <sheet name="Residual plots" sheetId="5" r:id="rId2"/>
    <sheet name="Measured data" sheetId="3" r:id="rId3"/>
    <sheet name="InterDay" sheetId="7" r:id="rId4"/>
    <sheet name="Control of Calibration" sheetId="6" r:id="rId5"/>
    <sheet name="Formulas_and_calculations" sheetId="2" r:id="rId6"/>
  </sheets>
  <definedNames>
    <definedName name="_ky1">'Control of Calibration'!$D$3</definedName>
    <definedName name="_ky2">'Control of Calibration'!$E$3</definedName>
    <definedName name="_ky3">'Control of Calibration'!$F$3</definedName>
    <definedName name="_ky4">'Control of Calibration'!$D$5</definedName>
    <definedName name="_ky5">'Control of Calibration'!$E$5</definedName>
    <definedName name="_ky6">'Control of Calibration'!$F$5</definedName>
    <definedName name="_ky7">'Control of Calibration'!$D$7</definedName>
    <definedName name="_ky8">'Control of Calibration'!$E$7</definedName>
    <definedName name="_ky9">'Control of Calibration'!$F$7</definedName>
    <definedName name="alle_x_data">Formulas_and_calculations!$A$3:$A$23</definedName>
    <definedName name="alle_x_quad">Formulas_and_calculations!$C$3:$C$23</definedName>
    <definedName name="alle_y_data">Formulas_and_calculations!$B$3:$B$23</definedName>
    <definedName name="alle_y_etsimeret">Formulas_and_calculations!$G$3:$G$23</definedName>
    <definedName name="areaynultest">Formulas_and_calculations!$B$48:$F$48</definedName>
    <definedName name="dfree">Formulas_and_calculations!$B$26</definedName>
    <definedName name="estmaaltx">Formulas_and_calculations!$C$53</definedName>
    <definedName name="gval_95">Formulas_and_calculations!$C$49</definedName>
    <definedName name="gval_99">Formulas_and_calculations!$E$49</definedName>
    <definedName name="highmaaltx95">Formulas_and_calculations!$E$53</definedName>
    <definedName name="highmaaltx99">Formulas_and_calculations!$G$53</definedName>
    <definedName name="intercept">data_and_report!$B$22</definedName>
    <definedName name="kdfree">'Control of Calibration'!$B$89</definedName>
    <definedName name="kGværdi__95">'Control of Calibration'!$B$99</definedName>
    <definedName name="kGværdi__99">'Control of Calibration'!$B$100</definedName>
    <definedName name="kintercept">'Control of Calibration'!$B$14</definedName>
    <definedName name="kMS_reg">'Control of Calibration'!$B$93</definedName>
    <definedName name="kNdata">'Control of Calibration'!$B$9</definedName>
    <definedName name="koncentrationsenhed">data_and_report!$C$17</definedName>
    <definedName name="kontrolX1">'Control of Calibration'!$C$3</definedName>
    <definedName name="KontrolX2">'Control of Calibration'!$C$5</definedName>
    <definedName name="KontrolX3">'Control of Calibration'!$C$7</definedName>
    <definedName name="kS_xx">'Control of Calibration'!$B$91</definedName>
    <definedName name="kS_xy">'Control of Calibration'!$B$90</definedName>
    <definedName name="kS_yy">'Control of Calibration'!$B$92</definedName>
    <definedName name="kS_yyestd">'Control of Calibration'!$B$93</definedName>
    <definedName name="kslope">'Control of Calibration'!$B$13</definedName>
    <definedName name="ksqrtsquare">'Control of Calibration'!$D$95</definedName>
    <definedName name="kSsquare">'Control of Calibration'!$B$95</definedName>
    <definedName name="kSumSquares">'Control of Calibration'!$B$94</definedName>
    <definedName name="kSumxsquare">'Control of Calibration'!$B$97</definedName>
    <definedName name="kSumysquare">'Control of Calibration'!$B$98</definedName>
    <definedName name="ksvalue">'Control of Calibration'!$B$96</definedName>
    <definedName name="ktval_95">'Control of Calibration'!$D$89</definedName>
    <definedName name="ktval_99">'Control of Calibration'!$D$90</definedName>
    <definedName name="kxmean">'Control of Calibration'!$A$87</definedName>
    <definedName name="kXstart">'Control of Calibration'!$I$88</definedName>
    <definedName name="kXstop">'Control of Calibration'!$I$89</definedName>
    <definedName name="kymean">'Control of Calibration'!$C$87</definedName>
    <definedName name="level1">data_and_report!$C$3</definedName>
    <definedName name="level2">data_and_report!$C$5</definedName>
    <definedName name="level3">data_and_report!$C$7</definedName>
    <definedName name="level4">data_and_report!$C$9</definedName>
    <definedName name="level5">data_and_report!$C$11</definedName>
    <definedName name="level6">data_and_report!$C$13</definedName>
    <definedName name="level7">data_and_report!$C$15</definedName>
    <definedName name="level8">data_and_report!#REF!</definedName>
    <definedName name="lowmaaltx95">Formulas_and_calculations!$D$53</definedName>
    <definedName name="lowmaaltx99">Formulas_and_calculations!$F$53</definedName>
    <definedName name="m__2_1">data_and_report!$D$6</definedName>
    <definedName name="m_1">data_and_report!$D$4</definedName>
    <definedName name="m_1_1">data_and_report!$D$4</definedName>
    <definedName name="m_1_2">data_and_report!$E$4</definedName>
    <definedName name="m_1_3">data_and_report!$F$4</definedName>
    <definedName name="m_1_4">data_and_report!#REF!</definedName>
    <definedName name="m_1_5">data_and_report!#REF!</definedName>
    <definedName name="m_1_6">data_and_report!#REF!</definedName>
    <definedName name="m_1_7">data_and_report!#REF!</definedName>
    <definedName name="m_1_8">data_and_report!#REF!</definedName>
    <definedName name="m_1_9">'Control of Calibration'!$D$3</definedName>
    <definedName name="m_10">data_and_report!$D$10</definedName>
    <definedName name="m_11">data_and_report!$E$10</definedName>
    <definedName name="m_12">data_and_report!$F$10</definedName>
    <definedName name="m_13">data_and_report!$D$12</definedName>
    <definedName name="m_14">data_and_report!$E$12</definedName>
    <definedName name="m_15">data_and_report!$F$12</definedName>
    <definedName name="m_2">data_and_report!$E$4</definedName>
    <definedName name="m_2_1">data_and_report!$D$6</definedName>
    <definedName name="m_2_2">'Control of Calibration'!$D$3</definedName>
    <definedName name="m_2_3">data_and_report!$F$6</definedName>
    <definedName name="m_2_4">data_and_report!#REF!</definedName>
    <definedName name="m_2_5">data_and_report!#REF!</definedName>
    <definedName name="m_2_6">data_and_report!#REF!</definedName>
    <definedName name="m_2_7">data_and_report!#REF!</definedName>
    <definedName name="m_2_8">'Control of Calibration'!$D$3</definedName>
    <definedName name="m_2_9">data_and_report!#REF!</definedName>
    <definedName name="m_3">data_and_report!$F$4</definedName>
    <definedName name="m_3_1">data_and_report!$D$7</definedName>
    <definedName name="m_3_2">data_and_report!$E$8</definedName>
    <definedName name="m_3_3">data_and_report!$F$8</definedName>
    <definedName name="m_3_4">'Control of Calibration'!$D$3</definedName>
    <definedName name="m_3_5">data_and_report!#REF!</definedName>
    <definedName name="m_3_6">data_and_report!#REF!</definedName>
    <definedName name="m_3_7">data_and_report!#REF!</definedName>
    <definedName name="m_3_8">data_and_report!#REF!</definedName>
    <definedName name="m_3_9">data_and_report!#REF!</definedName>
    <definedName name="m_4">data_and_report!$D$6</definedName>
    <definedName name="m_4_1">'Control of Calibration'!$D$3</definedName>
    <definedName name="m_4_3">data_and_report!$F$10</definedName>
    <definedName name="m_4_4">data_and_report!#REF!</definedName>
    <definedName name="m_4_5">data_and_report!#REF!</definedName>
    <definedName name="m_4_6">'Control of Calibration'!$D$3</definedName>
    <definedName name="m_4_7">data_and_report!#REF!</definedName>
    <definedName name="m_4_8">data_and_report!#REF!</definedName>
    <definedName name="m_5">data_and_report!$E$6</definedName>
    <definedName name="m_5_1">data_and_report!#REF!,data_and_report!$D$12</definedName>
    <definedName name="m_5_2">'Control of Calibration'!$D$3</definedName>
    <definedName name="m_5_3">'Control of Calibration'!$D$3</definedName>
    <definedName name="m_5_4">data_and_report!#REF!</definedName>
    <definedName name="m_5_5">data_and_report!#REF!</definedName>
    <definedName name="m_5_6">data_and_report!#REF!</definedName>
    <definedName name="m_5_7">'Control of Calibration'!$D$3</definedName>
    <definedName name="m_5_8">data_and_report!#REF!</definedName>
    <definedName name="m_5_9">data_and_report!#REF!</definedName>
    <definedName name="m_6">data_and_report!$F$6</definedName>
    <definedName name="m_6_1">data_and_report!$D$14</definedName>
    <definedName name="m_6_3">data_and_report!$F$14</definedName>
    <definedName name="m_6_4">data_and_report!#REF!</definedName>
    <definedName name="m_6_5">data_and_report!#REF!</definedName>
    <definedName name="m_6_6">data_and_report!#REF!</definedName>
    <definedName name="m_6_7">data_and_report!#REF!</definedName>
    <definedName name="m_6_8">data_and_report!#REF!</definedName>
    <definedName name="m_6_9">data_and_report!#REF!</definedName>
    <definedName name="m_7">data_and_report!$D$8</definedName>
    <definedName name="m_7_1">'Control of Calibration'!$D$3</definedName>
    <definedName name="m_7_2">data_and_report!#REF!</definedName>
    <definedName name="m_7_3">data_and_report!#REF!</definedName>
    <definedName name="m_7_4">data_and_report!#REF!</definedName>
    <definedName name="m_7_5">data_and_report!#REF!</definedName>
    <definedName name="m_7_6">data_and_report!#REF!</definedName>
    <definedName name="m_7_7">data_and_report!#REF!</definedName>
    <definedName name="m_7_8">data_and_report!#REF!</definedName>
    <definedName name="m_7_9">'Control of Calibration'!$D$3</definedName>
    <definedName name="m_8">data_and_report!$E$8</definedName>
    <definedName name="m_8_1">data_and_report!#REF!</definedName>
    <definedName name="m_8_2">data_and_report!#REF!</definedName>
    <definedName name="m_8_3">data_and_report!#REF!</definedName>
    <definedName name="m_8_4">data_and_report!#REF!</definedName>
    <definedName name="m_8_5">data_and_report!#REF!</definedName>
    <definedName name="m_8_6">data_and_report!#REF!</definedName>
    <definedName name="m_8_7">data_and_report!#REF!</definedName>
    <definedName name="m_8_8">data_and_report!#REF!</definedName>
    <definedName name="m_8_9">data_and_report!#REF!</definedName>
    <definedName name="m_9">data_and_report!$F$8</definedName>
    <definedName name="meanxy">Formulas_and_calculations!$D$24</definedName>
    <definedName name="MS_reg">Formulas_and_calculations!$B$30</definedName>
    <definedName name="maalt_Y">'Measured data'!$C$2</definedName>
    <definedName name="n">Formulas_and_calculations!#REF!</definedName>
    <definedName name="Ndata">Formulas_and_calculations!$A$25</definedName>
    <definedName name="overskrift">data_and_report!$C$1</definedName>
    <definedName name="Replikater_maalt">Formulas_and_calculations!$A$55</definedName>
    <definedName name="repmaal">Formulas_and_calculations!$A$55</definedName>
    <definedName name="Residualer">Formulas_and_calculations!$I$3:$I$23</definedName>
    <definedName name="responsenhed">data_and_report!$D$17</definedName>
    <definedName name="responsfaktor">'Control of Calibration'!$G$13</definedName>
    <definedName name="S_xx">Formulas_and_calculations!$B$28</definedName>
    <definedName name="S_xy">Formulas_and_calculations!$B$27</definedName>
    <definedName name="S_yy">Formulas_and_calculations!$B$29</definedName>
    <definedName name="S_yyestd">Formulas_and_calculations!$B$30</definedName>
    <definedName name="slope">Formulas_and_calculations!$F$26</definedName>
    <definedName name="sqrtsquare">Formulas_and_calculations!$D$32</definedName>
    <definedName name="Ssquare">Formulas_and_calculations!$B$32</definedName>
    <definedName name="SumSquares">Formulas_and_calculations!$B$31</definedName>
    <definedName name="Sumxsquare">Formulas_and_calculations!$B$34</definedName>
    <definedName name="Sumysquare">Formulas_and_calculations!$B$35</definedName>
    <definedName name="svalue">Formulas_and_calculations!$B$33</definedName>
    <definedName name="tval_95">Formulas_and_calculations!$D$26</definedName>
    <definedName name="tval_99">Formulas_and_calculations!$D$27</definedName>
    <definedName name="_xlnm.Print_Area" localSheetId="0">data_and_report!$A$1:$N$96</definedName>
    <definedName name="X_detail">Formulas_and_calculations!$H$30:$H$80</definedName>
    <definedName name="x_quad">'Control of Calibration'!$D$3</definedName>
    <definedName name="xmean">Formulas_and_calculations!$A$24</definedName>
    <definedName name="Xstart">Formulas_and_calculations!$J$25</definedName>
    <definedName name="Xstop">Formulas_and_calculations!$J$26</definedName>
    <definedName name="y_1">data_and_report!$D$3</definedName>
    <definedName name="y_10">data_and_report!$D$9</definedName>
    <definedName name="y_11">data_and_report!$E$9</definedName>
    <definedName name="y_12">data_and_report!$F$9</definedName>
    <definedName name="y_13">data_and_report!$D$11</definedName>
    <definedName name="y_14">data_and_report!$E$11</definedName>
    <definedName name="y_15">data_and_report!$F$11</definedName>
    <definedName name="y_2">data_and_report!$E$3</definedName>
    <definedName name="y_3">data_and_report!$F$3</definedName>
    <definedName name="y_4">data_and_report!$D$5</definedName>
    <definedName name="y_5">data_and_report!$E$5</definedName>
    <definedName name="y_6">data_and_report!$F$5</definedName>
    <definedName name="y_7">data_and_report!$D$7</definedName>
    <definedName name="y_8">data_and_report!$E$7</definedName>
    <definedName name="y_9">data_and_report!$F$7</definedName>
    <definedName name="Y_L">Formulas_and_calculations!$I$30</definedName>
    <definedName name="Y_U">Formulas_and_calculations!$J$30</definedName>
    <definedName name="yestmean">Formulas_and_calculations!$G$24</definedName>
    <definedName name="ymean">Formulas_and_calculations!$B$24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14" i="2"/>
  <c r="J13" i="2"/>
  <c r="J12" i="2"/>
  <c r="J11" i="2"/>
  <c r="J6" i="2"/>
  <c r="J5" i="2"/>
  <c r="J4" i="2"/>
  <c r="J3" i="2"/>
  <c r="J26" i="2"/>
  <c r="J23" i="2"/>
  <c r="J16" i="2"/>
  <c r="J9" i="2"/>
  <c r="A9" i="2"/>
  <c r="D9" i="2" s="1"/>
  <c r="B9" i="2"/>
  <c r="A23" i="2"/>
  <c r="C23" i="2" s="1"/>
  <c r="B23" i="2"/>
  <c r="B16" i="1"/>
  <c r="B14" i="1"/>
  <c r="C9" i="2" l="1"/>
  <c r="D23" i="2"/>
  <c r="Q38" i="2" l="1"/>
  <c r="J22" i="2" l="1"/>
  <c r="J21" i="2"/>
  <c r="J20" i="2"/>
  <c r="J19" i="2"/>
  <c r="J18" i="2"/>
  <c r="J17" i="2"/>
  <c r="J10" i="2"/>
  <c r="J8" i="2"/>
  <c r="J7" i="2"/>
  <c r="A8" i="2"/>
  <c r="C8" i="2" s="1"/>
  <c r="A7" i="2"/>
  <c r="C7" i="2" s="1"/>
  <c r="A6" i="2"/>
  <c r="C6" i="2" s="1"/>
  <c r="A5" i="2"/>
  <c r="C5" i="2" s="1"/>
  <c r="A4" i="2"/>
  <c r="C4" i="2" s="1"/>
  <c r="A3" i="2"/>
  <c r="A16" i="2"/>
  <c r="C16" i="2" s="1"/>
  <c r="A15" i="2"/>
  <c r="C15" i="2" s="1"/>
  <c r="A14" i="2"/>
  <c r="C14" i="2" s="1"/>
  <c r="A13" i="2"/>
  <c r="C13" i="2" s="1"/>
  <c r="A12" i="2"/>
  <c r="C12" i="2" s="1"/>
  <c r="A11" i="2"/>
  <c r="C11" i="2" s="1"/>
  <c r="A10" i="2"/>
  <c r="C10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B16" i="2"/>
  <c r="B15" i="2"/>
  <c r="B8" i="2"/>
  <c r="H11" i="6"/>
  <c r="G13" i="6" s="1"/>
  <c r="M47" i="7"/>
  <c r="M46" i="7"/>
  <c r="M45" i="7"/>
  <c r="M44" i="7"/>
  <c r="M43" i="7"/>
  <c r="M42" i="7"/>
  <c r="M41" i="7"/>
  <c r="M40" i="7"/>
  <c r="M39" i="7"/>
  <c r="C36" i="7"/>
  <c r="M31" i="7"/>
  <c r="M30" i="7"/>
  <c r="M29" i="7"/>
  <c r="M28" i="7"/>
  <c r="M27" i="7"/>
  <c r="M26" i="7"/>
  <c r="M25" i="7"/>
  <c r="M24" i="7"/>
  <c r="M23" i="7"/>
  <c r="C20" i="7"/>
  <c r="D4" i="7"/>
  <c r="C4" i="7"/>
  <c r="M15" i="7"/>
  <c r="M14" i="7"/>
  <c r="M13" i="7"/>
  <c r="M12" i="7"/>
  <c r="M11" i="7"/>
  <c r="M10" i="7"/>
  <c r="M9" i="7"/>
  <c r="M8" i="7"/>
  <c r="M7" i="7"/>
  <c r="B10" i="2"/>
  <c r="E29" i="1"/>
  <c r="E28" i="1"/>
  <c r="C29" i="1"/>
  <c r="C28" i="1"/>
  <c r="B11" i="2"/>
  <c r="B13" i="2"/>
  <c r="B6" i="2"/>
  <c r="B4" i="2"/>
  <c r="B7" i="2"/>
  <c r="B14" i="2"/>
  <c r="B12" i="2"/>
  <c r="B5" i="2"/>
  <c r="B6" i="1"/>
  <c r="B8" i="1" s="1"/>
  <c r="B10" i="1" s="1"/>
  <c r="B12" i="1" s="1"/>
  <c r="A86" i="6"/>
  <c r="A78" i="6"/>
  <c r="B78" i="6" s="1"/>
  <c r="A79" i="6"/>
  <c r="B79" i="6"/>
  <c r="A80" i="6"/>
  <c r="B80" i="6" s="1"/>
  <c r="A81" i="6"/>
  <c r="B81" i="6" s="1"/>
  <c r="A82" i="6"/>
  <c r="A83" i="6"/>
  <c r="A84" i="6"/>
  <c r="B84" i="6"/>
  <c r="A85" i="6"/>
  <c r="B85" i="6" s="1"/>
  <c r="B9" i="6"/>
  <c r="B82" i="6"/>
  <c r="O86" i="6"/>
  <c r="O85" i="6"/>
  <c r="O84" i="6"/>
  <c r="O83" i="6"/>
  <c r="O82" i="6"/>
  <c r="O81" i="6"/>
  <c r="O80" i="6"/>
  <c r="O79" i="6"/>
  <c r="O78" i="6"/>
  <c r="D330" i="3"/>
  <c r="C330" i="3"/>
  <c r="D322" i="3"/>
  <c r="C322" i="3"/>
  <c r="D314" i="3"/>
  <c r="C314" i="3"/>
  <c r="D306" i="3"/>
  <c r="C306" i="3"/>
  <c r="D298" i="3"/>
  <c r="C298" i="3"/>
  <c r="D290" i="3"/>
  <c r="C290" i="3"/>
  <c r="D282" i="3"/>
  <c r="C282" i="3"/>
  <c r="D274" i="3"/>
  <c r="C274" i="3"/>
  <c r="D266" i="3"/>
  <c r="C266" i="3"/>
  <c r="D258" i="3"/>
  <c r="C258" i="3"/>
  <c r="D250" i="3"/>
  <c r="C250" i="3"/>
  <c r="D242" i="3"/>
  <c r="C242" i="3"/>
  <c r="D234" i="3"/>
  <c r="C234" i="3"/>
  <c r="D226" i="3"/>
  <c r="C226" i="3"/>
  <c r="D218" i="3"/>
  <c r="C218" i="3"/>
  <c r="D210" i="3"/>
  <c r="C210" i="3"/>
  <c r="D202" i="3"/>
  <c r="C202" i="3"/>
  <c r="D194" i="3"/>
  <c r="C194" i="3"/>
  <c r="D186" i="3"/>
  <c r="C186" i="3"/>
  <c r="D178" i="3"/>
  <c r="C178" i="3"/>
  <c r="D170" i="3"/>
  <c r="C170" i="3"/>
  <c r="D162" i="3"/>
  <c r="C162" i="3"/>
  <c r="D154" i="3"/>
  <c r="C154" i="3"/>
  <c r="D146" i="3"/>
  <c r="C146" i="3"/>
  <c r="D138" i="3"/>
  <c r="C138" i="3"/>
  <c r="D130" i="3"/>
  <c r="C130" i="3"/>
  <c r="D122" i="3"/>
  <c r="C122" i="3"/>
  <c r="D114" i="3"/>
  <c r="C114" i="3"/>
  <c r="D106" i="3"/>
  <c r="C106" i="3"/>
  <c r="D98" i="3"/>
  <c r="C98" i="3"/>
  <c r="D90" i="3"/>
  <c r="C90" i="3"/>
  <c r="D82" i="3"/>
  <c r="C82" i="3"/>
  <c r="D74" i="3"/>
  <c r="C74" i="3"/>
  <c r="D66" i="3"/>
  <c r="C66" i="3"/>
  <c r="D58" i="3"/>
  <c r="C58" i="3"/>
  <c r="D50" i="3"/>
  <c r="C50" i="3"/>
  <c r="D42" i="3"/>
  <c r="C42" i="3"/>
  <c r="D34" i="3"/>
  <c r="C34" i="3"/>
  <c r="D26" i="3"/>
  <c r="C26" i="3"/>
  <c r="D18" i="3"/>
  <c r="C18" i="3"/>
  <c r="D10" i="3"/>
  <c r="C10" i="3"/>
  <c r="B2" i="3"/>
  <c r="C2" i="3"/>
  <c r="A53" i="2" s="1"/>
  <c r="B3" i="3"/>
  <c r="D2" i="3" s="1"/>
  <c r="B53" i="2" s="1"/>
  <c r="B4" i="3"/>
  <c r="B5" i="3"/>
  <c r="B6" i="3"/>
  <c r="B7" i="3"/>
  <c r="G26" i="1"/>
  <c r="G22" i="1"/>
  <c r="C86" i="6"/>
  <c r="D86" i="6" s="1"/>
  <c r="C85" i="6"/>
  <c r="C83" i="6"/>
  <c r="C81" i="6"/>
  <c r="D81" i="6"/>
  <c r="C82" i="6"/>
  <c r="D82" i="6" s="1"/>
  <c r="H7" i="6"/>
  <c r="C78" i="6"/>
  <c r="C80" i="6"/>
  <c r="D80" i="6"/>
  <c r="C79" i="6"/>
  <c r="E79" i="6"/>
  <c r="I7" i="6"/>
  <c r="C110" i="6" s="1"/>
  <c r="H5" i="6"/>
  <c r="C84" i="6"/>
  <c r="E84" i="6"/>
  <c r="I3" i="6"/>
  <c r="D21" i="6" s="1"/>
  <c r="H3" i="6"/>
  <c r="D84" i="6"/>
  <c r="D36" i="7"/>
  <c r="D20" i="7"/>
  <c r="E86" i="6"/>
  <c r="C87" i="6"/>
  <c r="H84" i="6" s="1"/>
  <c r="I84" i="6" s="1"/>
  <c r="E78" i="6"/>
  <c r="B108" i="6"/>
  <c r="E82" i="6"/>
  <c r="A110" i="6"/>
  <c r="I89" i="6"/>
  <c r="B86" i="6"/>
  <c r="A108" i="6"/>
  <c r="D83" i="6"/>
  <c r="D85" i="6"/>
  <c r="D78" i="6"/>
  <c r="I5" i="6"/>
  <c r="C109" i="6" s="1"/>
  <c r="B110" i="6"/>
  <c r="E85" i="6"/>
  <c r="E81" i="6"/>
  <c r="H82" i="6"/>
  <c r="I82" i="6" s="1"/>
  <c r="B109" i="6"/>
  <c r="B83" i="6"/>
  <c r="A109" i="6"/>
  <c r="A88" i="6"/>
  <c r="E83" i="6"/>
  <c r="B89" i="6"/>
  <c r="A87" i="6"/>
  <c r="F84" i="6" s="1"/>
  <c r="G84" i="6" s="1"/>
  <c r="F83" i="6"/>
  <c r="G83" i="6"/>
  <c r="H83" i="6"/>
  <c r="I83" i="6" s="1"/>
  <c r="H86" i="6"/>
  <c r="I86" i="6" s="1"/>
  <c r="H79" i="6"/>
  <c r="I79" i="6" s="1"/>
  <c r="I88" i="6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D79" i="6"/>
  <c r="D90" i="6"/>
  <c r="D89" i="6"/>
  <c r="F80" i="6"/>
  <c r="G80" i="6" s="1"/>
  <c r="F81" i="6"/>
  <c r="G81" i="6"/>
  <c r="F82" i="6"/>
  <c r="G82" i="6"/>
  <c r="F85" i="6"/>
  <c r="G85" i="6" s="1"/>
  <c r="F78" i="6"/>
  <c r="G78" i="6"/>
  <c r="F86" i="6"/>
  <c r="G86" i="6" s="1"/>
  <c r="H3" i="1" l="1"/>
  <c r="B98" i="6"/>
  <c r="B97" i="6"/>
  <c r="C108" i="6"/>
  <c r="B90" i="6"/>
  <c r="B13" i="6" s="1"/>
  <c r="H78" i="6"/>
  <c r="I78" i="6" s="1"/>
  <c r="H81" i="6"/>
  <c r="I81" i="6" s="1"/>
  <c r="D20" i="6"/>
  <c r="J3" i="6"/>
  <c r="F79" i="6"/>
  <c r="G79" i="6" s="1"/>
  <c r="B91" i="6" s="1"/>
  <c r="H80" i="6"/>
  <c r="I80" i="6" s="1"/>
  <c r="H85" i="6"/>
  <c r="I85" i="6" s="1"/>
  <c r="J5" i="6"/>
  <c r="E80" i="6"/>
  <c r="E87" i="6" s="1"/>
  <c r="J7" i="6"/>
  <c r="B17" i="2"/>
  <c r="B18" i="2"/>
  <c r="B19" i="2"/>
  <c r="D19" i="2" s="1"/>
  <c r="B20" i="2"/>
  <c r="D20" i="2" s="1"/>
  <c r="B21" i="2"/>
  <c r="D21" i="2" s="1"/>
  <c r="B3" i="2"/>
  <c r="D3" i="2" s="1"/>
  <c r="B22" i="2"/>
  <c r="D22" i="2" s="1"/>
  <c r="I13" i="1"/>
  <c r="J25" i="2"/>
  <c r="H30" i="2" s="1"/>
  <c r="C3" i="2"/>
  <c r="D15" i="2"/>
  <c r="B17" i="1"/>
  <c r="D10" i="2"/>
  <c r="D12" i="2"/>
  <c r="D6" i="2"/>
  <c r="D5" i="2"/>
  <c r="D8" i="2"/>
  <c r="D13" i="2"/>
  <c r="D16" i="2"/>
  <c r="D4" i="2"/>
  <c r="D11" i="2"/>
  <c r="D7" i="2"/>
  <c r="D14" i="2"/>
  <c r="H15" i="1"/>
  <c r="H5" i="1"/>
  <c r="H7" i="1"/>
  <c r="I11" i="1"/>
  <c r="I5" i="1"/>
  <c r="H13" i="1"/>
  <c r="J13" i="1" s="1"/>
  <c r="I3" i="1"/>
  <c r="J3" i="1" s="1"/>
  <c r="I9" i="1"/>
  <c r="I15" i="1"/>
  <c r="I7" i="1"/>
  <c r="H9" i="1"/>
  <c r="H11" i="1"/>
  <c r="B34" i="2"/>
  <c r="A25" i="2"/>
  <c r="O35" i="2" s="1"/>
  <c r="A24" i="2"/>
  <c r="E9" i="2" s="1"/>
  <c r="E23" i="2" l="1"/>
  <c r="F32" i="2"/>
  <c r="F31" i="2"/>
  <c r="C22" i="1" s="1"/>
  <c r="H31" i="2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J5" i="1"/>
  <c r="F27" i="2"/>
  <c r="D18" i="2"/>
  <c r="D28" i="1"/>
  <c r="D25" i="2"/>
  <c r="B24" i="2"/>
  <c r="F26" i="2"/>
  <c r="F30" i="2"/>
  <c r="C21" i="1" s="1"/>
  <c r="B26" i="2"/>
  <c r="D27" i="2" s="1"/>
  <c r="F35" i="2"/>
  <c r="B26" i="1" s="1"/>
  <c r="B35" i="2"/>
  <c r="F33" i="2"/>
  <c r="F34" i="2" s="1"/>
  <c r="D17" i="2"/>
  <c r="P31" i="2"/>
  <c r="B92" i="6"/>
  <c r="J78" i="6"/>
  <c r="J80" i="6"/>
  <c r="J83" i="6"/>
  <c r="J86" i="6"/>
  <c r="J79" i="6"/>
  <c r="J84" i="6"/>
  <c r="D29" i="1"/>
  <c r="B14" i="6"/>
  <c r="J9" i="1"/>
  <c r="J15" i="1"/>
  <c r="N30" i="2"/>
  <c r="N31" i="2"/>
  <c r="C24" i="2"/>
  <c r="O33" i="2"/>
  <c r="N32" i="2"/>
  <c r="O36" i="2" s="1"/>
  <c r="E15" i="2"/>
  <c r="E8" i="2"/>
  <c r="E21" i="2"/>
  <c r="E20" i="2"/>
  <c r="E18" i="2"/>
  <c r="E14" i="2"/>
  <c r="E13" i="2"/>
  <c r="F19" i="2"/>
  <c r="E22" i="2"/>
  <c r="E19" i="2"/>
  <c r="E7" i="2"/>
  <c r="E11" i="2"/>
  <c r="E12" i="2"/>
  <c r="E4" i="2"/>
  <c r="E16" i="2"/>
  <c r="E10" i="2"/>
  <c r="E17" i="2"/>
  <c r="E6" i="2"/>
  <c r="E5" i="2"/>
  <c r="J11" i="1"/>
  <c r="J7" i="1"/>
  <c r="E3" i="2"/>
  <c r="E22" i="1" l="1"/>
  <c r="F23" i="2"/>
  <c r="F9" i="2"/>
  <c r="D24" i="2"/>
  <c r="F18" i="2"/>
  <c r="F11" i="2"/>
  <c r="B27" i="2"/>
  <c r="F13" i="2"/>
  <c r="F5" i="2"/>
  <c r="F20" i="2"/>
  <c r="F12" i="2"/>
  <c r="F17" i="2"/>
  <c r="F16" i="2"/>
  <c r="F6" i="2"/>
  <c r="F22" i="2"/>
  <c r="F7" i="2"/>
  <c r="F14" i="2"/>
  <c r="F8" i="2"/>
  <c r="F21" i="2"/>
  <c r="F3" i="2"/>
  <c r="F10" i="2"/>
  <c r="F15" i="2"/>
  <c r="F4" i="2"/>
  <c r="C26" i="1"/>
  <c r="D26" i="2"/>
  <c r="D22" i="1" s="1"/>
  <c r="K86" i="6"/>
  <c r="L86" i="6" s="1"/>
  <c r="M86" i="6"/>
  <c r="M80" i="6"/>
  <c r="K80" i="6"/>
  <c r="L80" i="6" s="1"/>
  <c r="M83" i="6"/>
  <c r="K83" i="6"/>
  <c r="L83" i="6" s="1"/>
  <c r="J87" i="6"/>
  <c r="M78" i="6"/>
  <c r="K78" i="6"/>
  <c r="L78" i="6" s="1"/>
  <c r="B93" i="6" s="1"/>
  <c r="M84" i="6"/>
  <c r="K84" i="6"/>
  <c r="L84" i="6" s="1"/>
  <c r="J85" i="6"/>
  <c r="K79" i="6"/>
  <c r="L79" i="6" s="1"/>
  <c r="M79" i="6"/>
  <c r="J81" i="6"/>
  <c r="J82" i="6"/>
  <c r="O38" i="2"/>
  <c r="O39" i="2" s="1"/>
  <c r="J18" i="1" s="1"/>
  <c r="P32" i="2"/>
  <c r="E21" i="1"/>
  <c r="B28" i="2"/>
  <c r="B29" i="2" l="1"/>
  <c r="D21" i="1"/>
  <c r="K82" i="6"/>
  <c r="L82" i="6" s="1"/>
  <c r="M82" i="6"/>
  <c r="N79" i="6"/>
  <c r="P79" i="6"/>
  <c r="P83" i="6"/>
  <c r="N83" i="6"/>
  <c r="P84" i="6"/>
  <c r="N84" i="6"/>
  <c r="N80" i="6"/>
  <c r="P80" i="6"/>
  <c r="M81" i="6"/>
  <c r="K81" i="6"/>
  <c r="L81" i="6" s="1"/>
  <c r="C13" i="6"/>
  <c r="E13" i="6" s="1"/>
  <c r="K85" i="6"/>
  <c r="L85" i="6" s="1"/>
  <c r="M85" i="6"/>
  <c r="P86" i="6"/>
  <c r="N86" i="6"/>
  <c r="N78" i="6"/>
  <c r="B94" i="6" s="1"/>
  <c r="B95" i="6" s="1"/>
  <c r="P78" i="6"/>
  <c r="B21" i="1"/>
  <c r="I16" i="6" s="1"/>
  <c r="D13" i="6" l="1"/>
  <c r="B96" i="6"/>
  <c r="D95" i="6"/>
  <c r="B18" i="6"/>
  <c r="C18" i="6" s="1"/>
  <c r="P82" i="6"/>
  <c r="N82" i="6"/>
  <c r="N85" i="6"/>
  <c r="P85" i="6"/>
  <c r="P81" i="6"/>
  <c r="N81" i="6"/>
  <c r="J138" i="6"/>
  <c r="J91" i="6"/>
  <c r="L127" i="6"/>
  <c r="L115" i="6"/>
  <c r="L113" i="6"/>
  <c r="J136" i="6"/>
  <c r="L123" i="6"/>
  <c r="L101" i="6"/>
  <c r="J132" i="6"/>
  <c r="J135" i="6"/>
  <c r="L117" i="6"/>
  <c r="L121" i="6"/>
  <c r="L116" i="6"/>
  <c r="L96" i="6"/>
  <c r="J113" i="6"/>
  <c r="J141" i="6"/>
  <c r="L134" i="6"/>
  <c r="J115" i="6"/>
  <c r="J109" i="6"/>
  <c r="J93" i="6"/>
  <c r="J118" i="6"/>
  <c r="L138" i="6"/>
  <c r="J140" i="6"/>
  <c r="L133" i="6"/>
  <c r="L108" i="6"/>
  <c r="J92" i="6"/>
  <c r="L120" i="6"/>
  <c r="L126" i="6"/>
  <c r="L91" i="6"/>
  <c r="L109" i="6"/>
  <c r="J114" i="6"/>
  <c r="L112" i="6"/>
  <c r="J104" i="6"/>
  <c r="J110" i="6"/>
  <c r="J103" i="6"/>
  <c r="L105" i="6"/>
  <c r="J124" i="6"/>
  <c r="J116" i="6"/>
  <c r="B22" i="1"/>
  <c r="G9" i="2" s="1"/>
  <c r="L102" i="6"/>
  <c r="L99" i="6"/>
  <c r="L124" i="6"/>
  <c r="J133" i="6"/>
  <c r="L139" i="6"/>
  <c r="J128" i="6"/>
  <c r="J101" i="6"/>
  <c r="L128" i="6"/>
  <c r="J106" i="6"/>
  <c r="L137" i="6"/>
  <c r="J123" i="6"/>
  <c r="J131" i="6"/>
  <c r="J107" i="6"/>
  <c r="L104" i="6"/>
  <c r="L107" i="6"/>
  <c r="J111" i="6"/>
  <c r="J96" i="6"/>
  <c r="L125" i="6"/>
  <c r="J105" i="6"/>
  <c r="J102" i="6"/>
  <c r="J108" i="6"/>
  <c r="J126" i="6"/>
  <c r="L118" i="6"/>
  <c r="L140" i="6"/>
  <c r="L100" i="6"/>
  <c r="J122" i="6"/>
  <c r="L130" i="6"/>
  <c r="L114" i="6"/>
  <c r="J121" i="6"/>
  <c r="L141" i="6"/>
  <c r="J127" i="6"/>
  <c r="J125" i="6"/>
  <c r="L103" i="6"/>
  <c r="L106" i="6"/>
  <c r="J100" i="6"/>
  <c r="L135" i="6"/>
  <c r="J120" i="6"/>
  <c r="L93" i="6"/>
  <c r="J98" i="6"/>
  <c r="L111" i="6"/>
  <c r="L94" i="6"/>
  <c r="L119" i="6"/>
  <c r="L131" i="6"/>
  <c r="L97" i="6"/>
  <c r="L95" i="6"/>
  <c r="L92" i="6"/>
  <c r="J137" i="6"/>
  <c r="J94" i="6"/>
  <c r="J134" i="6"/>
  <c r="J129" i="6"/>
  <c r="L136" i="6"/>
  <c r="J139" i="6"/>
  <c r="L132" i="6"/>
  <c r="L129" i="6"/>
  <c r="L110" i="6"/>
  <c r="J130" i="6"/>
  <c r="J95" i="6"/>
  <c r="J97" i="6"/>
  <c r="J119" i="6"/>
  <c r="J99" i="6"/>
  <c r="L122" i="6"/>
  <c r="J112" i="6"/>
  <c r="L98" i="6"/>
  <c r="H9" i="2" l="1"/>
  <c r="I9" i="2"/>
  <c r="K9" i="2" s="1"/>
  <c r="G23" i="2"/>
  <c r="B20" i="6"/>
  <c r="B21" i="6"/>
  <c r="I132" i="6"/>
  <c r="K112" i="6"/>
  <c r="I104" i="6"/>
  <c r="I138" i="6"/>
  <c r="K91" i="6"/>
  <c r="I110" i="6"/>
  <c r="I135" i="6"/>
  <c r="K128" i="6"/>
  <c r="I112" i="6"/>
  <c r="I116" i="6"/>
  <c r="I127" i="6"/>
  <c r="K107" i="6"/>
  <c r="I103" i="6"/>
  <c r="I91" i="6"/>
  <c r="K104" i="6"/>
  <c r="I139" i="6"/>
  <c r="K108" i="6"/>
  <c r="K94" i="6"/>
  <c r="K132" i="6"/>
  <c r="I115" i="6"/>
  <c r="K124" i="6"/>
  <c r="I108" i="6"/>
  <c r="K139" i="6"/>
  <c r="I141" i="6"/>
  <c r="K111" i="6"/>
  <c r="K109" i="6"/>
  <c r="I97" i="6"/>
  <c r="I93" i="6"/>
  <c r="I130" i="6"/>
  <c r="K116" i="6"/>
  <c r="I92" i="6"/>
  <c r="K114" i="6"/>
  <c r="K103" i="6"/>
  <c r="I117" i="6"/>
  <c r="K134" i="6"/>
  <c r="I118" i="6"/>
  <c r="I126" i="6"/>
  <c r="K137" i="6"/>
  <c r="K121" i="6"/>
  <c r="I102" i="6"/>
  <c r="K122" i="6"/>
  <c r="K101" i="6"/>
  <c r="K131" i="6"/>
  <c r="I122" i="6"/>
  <c r="K138" i="6"/>
  <c r="I113" i="6"/>
  <c r="K117" i="6"/>
  <c r="I137" i="6"/>
  <c r="K140" i="6"/>
  <c r="I140" i="6"/>
  <c r="I133" i="6"/>
  <c r="I99" i="6"/>
  <c r="I106" i="6"/>
  <c r="I95" i="6"/>
  <c r="I98" i="6"/>
  <c r="K95" i="6"/>
  <c r="K125" i="6"/>
  <c r="K113" i="6"/>
  <c r="K92" i="6"/>
  <c r="K120" i="6"/>
  <c r="I123" i="6"/>
  <c r="I105" i="6"/>
  <c r="K136" i="6"/>
  <c r="I125" i="6"/>
  <c r="I124" i="6"/>
  <c r="K126" i="6"/>
  <c r="K133" i="6"/>
  <c r="I111" i="6"/>
  <c r="I121" i="6"/>
  <c r="K123" i="6"/>
  <c r="K96" i="6"/>
  <c r="K129" i="6"/>
  <c r="K119" i="6"/>
  <c r="K106" i="6"/>
  <c r="K135" i="6"/>
  <c r="K93" i="6"/>
  <c r="K141" i="6"/>
  <c r="I134" i="6"/>
  <c r="I114" i="6"/>
  <c r="I101" i="6"/>
  <c r="I129" i="6"/>
  <c r="K100" i="6"/>
  <c r="I107" i="6"/>
  <c r="K118" i="6"/>
  <c r="K105" i="6"/>
  <c r="K130" i="6"/>
  <c r="K99" i="6"/>
  <c r="K127" i="6"/>
  <c r="I100" i="6"/>
  <c r="I119" i="6"/>
  <c r="K115" i="6"/>
  <c r="I120" i="6"/>
  <c r="K98" i="6"/>
  <c r="I136" i="6"/>
  <c r="I128" i="6"/>
  <c r="K102" i="6"/>
  <c r="I109" i="6"/>
  <c r="I96" i="6"/>
  <c r="K97" i="6"/>
  <c r="I131" i="6"/>
  <c r="K110" i="6"/>
  <c r="I94" i="6"/>
  <c r="J117" i="6"/>
  <c r="B99" i="6"/>
  <c r="B100" i="6"/>
  <c r="G15" i="2"/>
  <c r="I15" i="2" s="1"/>
  <c r="K15" i="2" s="1"/>
  <c r="G7" i="2"/>
  <c r="H7" i="2" s="1"/>
  <c r="G10" i="2"/>
  <c r="G18" i="2"/>
  <c r="G14" i="2"/>
  <c r="G6" i="2"/>
  <c r="G22" i="2"/>
  <c r="G5" i="2"/>
  <c r="G17" i="2"/>
  <c r="G8" i="2"/>
  <c r="G21" i="2"/>
  <c r="G13" i="2"/>
  <c r="G12" i="2"/>
  <c r="G4" i="2"/>
  <c r="G16" i="2"/>
  <c r="G20" i="2"/>
  <c r="G19" i="2"/>
  <c r="G11" i="2"/>
  <c r="E266" i="3"/>
  <c r="E306" i="3"/>
  <c r="E290" i="3"/>
  <c r="E66" i="3"/>
  <c r="E90" i="3"/>
  <c r="E34" i="3"/>
  <c r="M4" i="7"/>
  <c r="E20" i="7"/>
  <c r="E98" i="3"/>
  <c r="M20" i="7"/>
  <c r="E2" i="3"/>
  <c r="M37" i="7"/>
  <c r="E226" i="3"/>
  <c r="M5" i="7"/>
  <c r="E74" i="3"/>
  <c r="M21" i="7"/>
  <c r="M22" i="7"/>
  <c r="E130" i="3"/>
  <c r="E186" i="3"/>
  <c r="E202" i="3"/>
  <c r="E146" i="3"/>
  <c r="E10" i="3"/>
  <c r="E114" i="3"/>
  <c r="E138" i="3"/>
  <c r="E154" i="3"/>
  <c r="E274" i="3"/>
  <c r="M36" i="7"/>
  <c r="E282" i="3"/>
  <c r="M6" i="7"/>
  <c r="G3" i="2"/>
  <c r="H3" i="2" s="1"/>
  <c r="E218" i="3"/>
  <c r="E314" i="3"/>
  <c r="E234" i="3"/>
  <c r="E58" i="3"/>
  <c r="E82" i="3"/>
  <c r="E18" i="3"/>
  <c r="B45" i="2"/>
  <c r="H22" i="1" s="1"/>
  <c r="E330" i="3"/>
  <c r="E35" i="7"/>
  <c r="E250" i="3"/>
  <c r="M38" i="7"/>
  <c r="E242" i="3"/>
  <c r="E170" i="3"/>
  <c r="E178" i="3"/>
  <c r="E42" i="3"/>
  <c r="E194" i="3"/>
  <c r="E50" i="3"/>
  <c r="E26" i="3"/>
  <c r="C53" i="2"/>
  <c r="E298" i="3"/>
  <c r="E210" i="3"/>
  <c r="E322" i="3"/>
  <c r="B48" i="2"/>
  <c r="H26" i="1" s="1"/>
  <c r="E4" i="7"/>
  <c r="E162" i="3"/>
  <c r="E122" i="3"/>
  <c r="E258" i="3"/>
  <c r="E106" i="3"/>
  <c r="H23" i="2" l="1"/>
  <c r="I23" i="2"/>
  <c r="K23" i="2" s="1"/>
  <c r="H15" i="2"/>
  <c r="I7" i="2"/>
  <c r="K7" i="2" s="1"/>
  <c r="I8" i="2"/>
  <c r="K8" i="2" s="1"/>
  <c r="H8" i="2"/>
  <c r="I12" i="2"/>
  <c r="K12" i="2" s="1"/>
  <c r="H12" i="2"/>
  <c r="H19" i="2"/>
  <c r="I19" i="2"/>
  <c r="K19" i="2" s="1"/>
  <c r="I10" i="2"/>
  <c r="K10" i="2" s="1"/>
  <c r="H10" i="2"/>
  <c r="I4" i="2"/>
  <c r="K4" i="2" s="1"/>
  <c r="H4" i="2"/>
  <c r="H16" i="2"/>
  <c r="I16" i="2"/>
  <c r="K16" i="2" s="1"/>
  <c r="I14" i="2"/>
  <c r="K14" i="2" s="1"/>
  <c r="H14" i="2"/>
  <c r="I11" i="2"/>
  <c r="K11" i="2" s="1"/>
  <c r="H11" i="2"/>
  <c r="I13" i="2"/>
  <c r="K13" i="2" s="1"/>
  <c r="H13" i="2"/>
  <c r="H5" i="2"/>
  <c r="I5" i="2"/>
  <c r="K5" i="2" s="1"/>
  <c r="I18" i="2"/>
  <c r="K18" i="2" s="1"/>
  <c r="H18" i="2"/>
  <c r="I6" i="2"/>
  <c r="K6" i="2" s="1"/>
  <c r="H6" i="2"/>
  <c r="I22" i="2"/>
  <c r="K22" i="2" s="1"/>
  <c r="H22" i="2"/>
  <c r="I20" i="2"/>
  <c r="K20" i="2" s="1"/>
  <c r="H20" i="2"/>
  <c r="I17" i="2"/>
  <c r="K17" i="2" s="1"/>
  <c r="H17" i="2"/>
  <c r="I21" i="2"/>
  <c r="K21" i="2" s="1"/>
  <c r="H21" i="2"/>
  <c r="I3" i="2"/>
  <c r="K3" i="2" s="1"/>
  <c r="L36" i="7"/>
  <c r="L4" i="7"/>
  <c r="K36" i="7"/>
  <c r="K4" i="7"/>
  <c r="G24" i="2"/>
  <c r="L20" i="7"/>
  <c r="K20" i="7"/>
  <c r="B30" i="2" l="1"/>
  <c r="B23" i="1" s="1"/>
  <c r="B24" i="1" s="1"/>
  <c r="K33" i="7"/>
  <c r="I33" i="7" s="1"/>
  <c r="L17" i="7"/>
  <c r="F17" i="7" s="1"/>
  <c r="L33" i="7"/>
  <c r="F33" i="7" s="1"/>
  <c r="K17" i="7"/>
  <c r="I17" i="7" s="1"/>
  <c r="B31" i="2"/>
  <c r="B32" i="2" s="1"/>
  <c r="D32" i="2" s="1"/>
  <c r="B15" i="6" l="1"/>
  <c r="B16" i="6" s="1"/>
  <c r="J17" i="7"/>
  <c r="G33" i="7"/>
  <c r="H33" i="7" s="1"/>
  <c r="G17" i="7"/>
  <c r="H17" i="7" s="1"/>
  <c r="J33" i="7"/>
  <c r="B33" i="2"/>
  <c r="B37" i="2" s="1"/>
  <c r="C14" i="6"/>
  <c r="B29" i="1"/>
  <c r="B28" i="1"/>
  <c r="L39" i="2"/>
  <c r="I34" i="2"/>
  <c r="J66" i="2"/>
  <c r="I63" i="2"/>
  <c r="K41" i="2"/>
  <c r="L79" i="2"/>
  <c r="J53" i="2"/>
  <c r="K32" i="2"/>
  <c r="K55" i="2"/>
  <c r="I70" i="2"/>
  <c r="L35" i="2"/>
  <c r="L37" i="2"/>
  <c r="L54" i="2"/>
  <c r="I30" i="2"/>
  <c r="K47" i="2"/>
  <c r="K43" i="2"/>
  <c r="J48" i="2"/>
  <c r="J64" i="2"/>
  <c r="L75" i="2"/>
  <c r="L60" i="2"/>
  <c r="L50" i="2"/>
  <c r="K31" i="2"/>
  <c r="K40" i="2"/>
  <c r="I35" i="2"/>
  <c r="I49" i="2"/>
  <c r="K59" i="2"/>
  <c r="J45" i="2"/>
  <c r="L66" i="2"/>
  <c r="I59" i="2"/>
  <c r="L78" i="2"/>
  <c r="K35" i="2"/>
  <c r="L70" i="2"/>
  <c r="J77" i="2"/>
  <c r="K60" i="2"/>
  <c r="I55" i="2"/>
  <c r="J71" i="2"/>
  <c r="J72" i="2"/>
  <c r="J47" i="2"/>
  <c r="J49" i="2"/>
  <c r="L65" i="2"/>
  <c r="L73" i="2"/>
  <c r="I54" i="2"/>
  <c r="J70" i="2"/>
  <c r="K53" i="2"/>
  <c r="K68" i="2"/>
  <c r="J39" i="2"/>
  <c r="L48" i="2"/>
  <c r="I40" i="2"/>
  <c r="J32" i="2"/>
  <c r="I41" i="2"/>
  <c r="K74" i="2"/>
  <c r="L77" i="2"/>
  <c r="K73" i="2"/>
  <c r="I61" i="2"/>
  <c r="K44" i="2"/>
  <c r="L53" i="2"/>
  <c r="I80" i="2"/>
  <c r="J50" i="2"/>
  <c r="I62" i="2"/>
  <c r="I37" i="2"/>
  <c r="L68" i="2"/>
  <c r="K62" i="2"/>
  <c r="L43" i="2"/>
  <c r="I76" i="2"/>
  <c r="F45" i="2"/>
  <c r="L22" i="1" s="1"/>
  <c r="J62" i="2"/>
  <c r="J57" i="2"/>
  <c r="I60" i="2"/>
  <c r="K58" i="2"/>
  <c r="L34" i="2"/>
  <c r="J80" i="2"/>
  <c r="I79" i="2"/>
  <c r="K56" i="2"/>
  <c r="J54" i="2"/>
  <c r="L45" i="2"/>
  <c r="K37" i="2"/>
  <c r="L47" i="2"/>
  <c r="J36" i="2"/>
  <c r="L61" i="2"/>
  <c r="J74" i="2"/>
  <c r="I78" i="2"/>
  <c r="L62" i="2"/>
  <c r="L41" i="2"/>
  <c r="L71" i="2"/>
  <c r="J51" i="2"/>
  <c r="I65" i="2"/>
  <c r="L38" i="2"/>
  <c r="K50" i="2"/>
  <c r="J37" i="2"/>
  <c r="K49" i="2"/>
  <c r="K36" i="2"/>
  <c r="L44" i="2"/>
  <c r="K80" i="2"/>
  <c r="I58" i="2"/>
  <c r="L76" i="2"/>
  <c r="K51" i="2"/>
  <c r="L32" i="2"/>
  <c r="J58" i="2"/>
  <c r="L72" i="2"/>
  <c r="D45" i="2"/>
  <c r="J22" i="1" s="1"/>
  <c r="K64" i="2"/>
  <c r="I45" i="2"/>
  <c r="J44" i="2"/>
  <c r="L64" i="2"/>
  <c r="I46" i="2"/>
  <c r="K69" i="2"/>
  <c r="I31" i="2"/>
  <c r="K42" i="2"/>
  <c r="K48" i="2"/>
  <c r="L55" i="2"/>
  <c r="L40" i="2"/>
  <c r="K75" i="2"/>
  <c r="J67" i="2"/>
  <c r="L67" i="2"/>
  <c r="C45" i="2"/>
  <c r="I22" i="1" s="1"/>
  <c r="J68" i="2"/>
  <c r="K72" i="2"/>
  <c r="I57" i="2"/>
  <c r="L33" i="2"/>
  <c r="K61" i="2"/>
  <c r="L56" i="2"/>
  <c r="J60" i="2"/>
  <c r="K45" i="2"/>
  <c r="J61" i="2"/>
  <c r="I36" i="2"/>
  <c r="J31" i="2"/>
  <c r="J52" i="2"/>
  <c r="I32" i="2"/>
  <c r="K38" i="2"/>
  <c r="L74" i="2"/>
  <c r="K54" i="2"/>
  <c r="J40" i="2"/>
  <c r="J38" i="2"/>
  <c r="K79" i="2"/>
  <c r="J30" i="2"/>
  <c r="J42" i="2"/>
  <c r="I33" i="2"/>
  <c r="K66" i="2"/>
  <c r="L51" i="2"/>
  <c r="K67" i="2"/>
  <c r="J46" i="2"/>
  <c r="J76" i="2"/>
  <c r="K30" i="2"/>
  <c r="I43" i="2"/>
  <c r="L63" i="2"/>
  <c r="K70" i="2"/>
  <c r="K78" i="2"/>
  <c r="K52" i="2"/>
  <c r="I42" i="2"/>
  <c r="J55" i="2"/>
  <c r="I71" i="2"/>
  <c r="I44" i="2"/>
  <c r="I56" i="2"/>
  <c r="L52" i="2"/>
  <c r="J41" i="2"/>
  <c r="J34" i="2"/>
  <c r="J59" i="2"/>
  <c r="L46" i="2"/>
  <c r="I69" i="2"/>
  <c r="K63" i="2"/>
  <c r="L42" i="2"/>
  <c r="J79" i="2"/>
  <c r="I67" i="2"/>
  <c r="I77" i="2"/>
  <c r="I47" i="2"/>
  <c r="I68" i="2"/>
  <c r="L31" i="2"/>
  <c r="J43" i="2"/>
  <c r="I66" i="2"/>
  <c r="L49" i="2"/>
  <c r="L57" i="2"/>
  <c r="I74" i="2"/>
  <c r="J65" i="2"/>
  <c r="L36" i="2"/>
  <c r="K77" i="2"/>
  <c r="K71" i="2"/>
  <c r="K34" i="2"/>
  <c r="J78" i="2"/>
  <c r="K65" i="2"/>
  <c r="I39" i="2"/>
  <c r="K33" i="2"/>
  <c r="J33" i="2"/>
  <c r="L80" i="2"/>
  <c r="J63" i="2"/>
  <c r="K39" i="2"/>
  <c r="I38" i="2"/>
  <c r="L58" i="2"/>
  <c r="K46" i="2"/>
  <c r="I50" i="2"/>
  <c r="I48" i="2"/>
  <c r="J69" i="2"/>
  <c r="I53" i="2"/>
  <c r="L59" i="2"/>
  <c r="E45" i="2"/>
  <c r="K22" i="1" s="1"/>
  <c r="I51" i="2"/>
  <c r="I72" i="2"/>
  <c r="K76" i="2"/>
  <c r="J56" i="2"/>
  <c r="I52" i="2"/>
  <c r="J73" i="2"/>
  <c r="J35" i="2"/>
  <c r="L30" i="2"/>
  <c r="L69" i="2"/>
  <c r="I75" i="2"/>
  <c r="K57" i="2"/>
  <c r="I64" i="2"/>
  <c r="I73" i="2"/>
  <c r="J75" i="2"/>
  <c r="G202" i="3" l="1"/>
  <c r="G203" i="3" s="1"/>
  <c r="F234" i="3"/>
  <c r="F235" i="3" s="1"/>
  <c r="H4" i="7"/>
  <c r="H5" i="7" s="1"/>
  <c r="G82" i="3"/>
  <c r="G83" i="3" s="1"/>
  <c r="I162" i="3"/>
  <c r="I163" i="3" s="1"/>
  <c r="H34" i="3"/>
  <c r="H35" i="3" s="1"/>
  <c r="G218" i="3"/>
  <c r="G219" i="3" s="1"/>
  <c r="I258" i="3"/>
  <c r="I259" i="3" s="1"/>
  <c r="G90" i="3"/>
  <c r="G91" i="3" s="1"/>
  <c r="H186" i="3"/>
  <c r="H187" i="3" s="1"/>
  <c r="I42" i="3"/>
  <c r="I43" i="3" s="1"/>
  <c r="H74" i="3"/>
  <c r="H75" i="3" s="1"/>
  <c r="G322" i="3"/>
  <c r="G323" i="3" s="1"/>
  <c r="F2" i="3"/>
  <c r="F3" i="3" s="1"/>
  <c r="G26" i="3"/>
  <c r="G27" i="3" s="1"/>
  <c r="G178" i="3"/>
  <c r="G179" i="3" s="1"/>
  <c r="G106" i="3"/>
  <c r="G107" i="3" s="1"/>
  <c r="H290" i="3"/>
  <c r="H291" i="3" s="1"/>
  <c r="I20" i="7"/>
  <c r="I21" i="7" s="1"/>
  <c r="H170" i="3"/>
  <c r="H171" i="3" s="1"/>
  <c r="G122" i="3"/>
  <c r="G123" i="3" s="1"/>
  <c r="I154" i="3"/>
  <c r="I155" i="3" s="1"/>
  <c r="F4" i="7"/>
  <c r="F5" i="7" s="1"/>
  <c r="I274" i="3"/>
  <c r="I275" i="3" s="1"/>
  <c r="F226" i="3"/>
  <c r="F227" i="3" s="1"/>
  <c r="F130" i="3"/>
  <c r="F131" i="3" s="1"/>
  <c r="G114" i="3"/>
  <c r="G115" i="3" s="1"/>
  <c r="F266" i="3"/>
  <c r="F267" i="3" s="1"/>
  <c r="H314" i="3"/>
  <c r="H315" i="3" s="1"/>
  <c r="G266" i="3"/>
  <c r="G267" i="3" s="1"/>
  <c r="H162" i="3"/>
  <c r="H163" i="3" s="1"/>
  <c r="H66" i="3"/>
  <c r="H67" i="3" s="1"/>
  <c r="G306" i="3"/>
  <c r="G307" i="3" s="1"/>
  <c r="F258" i="3"/>
  <c r="F259" i="3" s="1"/>
  <c r="H114" i="3"/>
  <c r="H115" i="3" s="1"/>
  <c r="I18" i="3"/>
  <c r="I19" i="3" s="1"/>
  <c r="I50" i="3"/>
  <c r="I51" i="3" s="1"/>
  <c r="F26" i="3"/>
  <c r="F27" i="3" s="1"/>
  <c r="F50" i="3"/>
  <c r="F51" i="3" s="1"/>
  <c r="F53" i="2"/>
  <c r="G138" i="3"/>
  <c r="G139" i="3" s="1"/>
  <c r="F162" i="3"/>
  <c r="F163" i="3" s="1"/>
  <c r="G290" i="3"/>
  <c r="G291" i="3" s="1"/>
  <c r="I250" i="3"/>
  <c r="I251" i="3" s="1"/>
  <c r="F42" i="3"/>
  <c r="F43" i="3" s="1"/>
  <c r="G2" i="3"/>
  <c r="G3" i="3" s="1"/>
  <c r="F20" i="7"/>
  <c r="F21" i="7" s="1"/>
  <c r="F48" i="2"/>
  <c r="L26" i="1" s="1"/>
  <c r="H330" i="3"/>
  <c r="H331" i="3" s="1"/>
  <c r="I314" i="3"/>
  <c r="I315" i="3" s="1"/>
  <c r="F322" i="3"/>
  <c r="F323" i="3" s="1"/>
  <c r="G58" i="3"/>
  <c r="G59" i="3" s="1"/>
  <c r="H36" i="7"/>
  <c r="H37" i="7" s="1"/>
  <c r="H266" i="3"/>
  <c r="H267" i="3" s="1"/>
  <c r="H10" i="3"/>
  <c r="H11" i="3" s="1"/>
  <c r="H298" i="3"/>
  <c r="H299" i="3" s="1"/>
  <c r="F186" i="3"/>
  <c r="F187" i="3" s="1"/>
  <c r="F210" i="3"/>
  <c r="F211" i="3" s="1"/>
  <c r="F10" i="3"/>
  <c r="F11" i="3" s="1"/>
  <c r="F250" i="3"/>
  <c r="F251" i="3" s="1"/>
  <c r="H226" i="3"/>
  <c r="H227" i="3" s="1"/>
  <c r="H50" i="3"/>
  <c r="H51" i="3" s="1"/>
  <c r="I82" i="3"/>
  <c r="I83" i="3" s="1"/>
  <c r="F298" i="3"/>
  <c r="F299" i="3" s="1"/>
  <c r="F66" i="3"/>
  <c r="F67" i="3" s="1"/>
  <c r="F330" i="3"/>
  <c r="F331" i="3" s="1"/>
  <c r="F218" i="3"/>
  <c r="F219" i="3" s="1"/>
  <c r="H58" i="3"/>
  <c r="H59" i="3" s="1"/>
  <c r="H98" i="3"/>
  <c r="H99" i="3" s="1"/>
  <c r="I90" i="3"/>
  <c r="I91" i="3" s="1"/>
  <c r="F82" i="3"/>
  <c r="F83" i="3" s="1"/>
  <c r="G18" i="3"/>
  <c r="G19" i="3" s="1"/>
  <c r="H258" i="3"/>
  <c r="H259" i="3" s="1"/>
  <c r="H274" i="3"/>
  <c r="H275" i="3" s="1"/>
  <c r="I170" i="3"/>
  <c r="I171" i="3" s="1"/>
  <c r="I218" i="3"/>
  <c r="I219" i="3" s="1"/>
  <c r="F34" i="3"/>
  <c r="F35" i="3" s="1"/>
  <c r="F122" i="3"/>
  <c r="F123" i="3" s="1"/>
  <c r="H202" i="3"/>
  <c r="H203" i="3" s="1"/>
  <c r="I66" i="3"/>
  <c r="I67" i="3" s="1"/>
  <c r="I58" i="3"/>
  <c r="I59" i="3" s="1"/>
  <c r="F202" i="3"/>
  <c r="F203" i="3" s="1"/>
  <c r="F98" i="3"/>
  <c r="F99" i="3" s="1"/>
  <c r="H82" i="3"/>
  <c r="H83" i="3" s="1"/>
  <c r="I298" i="3"/>
  <c r="I299" i="3" s="1"/>
  <c r="H210" i="3"/>
  <c r="H211" i="3" s="1"/>
  <c r="H42" i="3"/>
  <c r="H43" i="3" s="1"/>
  <c r="F90" i="3"/>
  <c r="F91" i="3" s="1"/>
  <c r="H20" i="7"/>
  <c r="H21" i="7" s="1"/>
  <c r="G34" i="3"/>
  <c r="G35" i="3" s="1"/>
  <c r="G42" i="3"/>
  <c r="G43" i="3" s="1"/>
  <c r="I234" i="3"/>
  <c r="I235" i="3" s="1"/>
  <c r="G314" i="3"/>
  <c r="G315" i="3" s="1"/>
  <c r="F138" i="3"/>
  <c r="F139" i="3" s="1"/>
  <c r="I178" i="3"/>
  <c r="I179" i="3" s="1"/>
  <c r="H90" i="3"/>
  <c r="H91" i="3" s="1"/>
  <c r="H250" i="3"/>
  <c r="H251" i="3" s="1"/>
  <c r="I282" i="3"/>
  <c r="I283" i="3" s="1"/>
  <c r="I194" i="3"/>
  <c r="I195" i="3" s="1"/>
  <c r="F154" i="3"/>
  <c r="F155" i="3" s="1"/>
  <c r="G274" i="3"/>
  <c r="G275" i="3" s="1"/>
  <c r="G162" i="3"/>
  <c r="G163" i="3" s="1"/>
  <c r="G298" i="3"/>
  <c r="G299" i="3" s="1"/>
  <c r="H282" i="3"/>
  <c r="H283" i="3" s="1"/>
  <c r="G130" i="3"/>
  <c r="G131" i="3" s="1"/>
  <c r="F146" i="3"/>
  <c r="F147" i="3" s="1"/>
  <c r="I146" i="3"/>
  <c r="I147" i="3" s="1"/>
  <c r="I322" i="3"/>
  <c r="I323" i="3" s="1"/>
  <c r="F314" i="3"/>
  <c r="F315" i="3" s="1"/>
  <c r="I4" i="7"/>
  <c r="I5" i="7" s="1"/>
  <c r="D48" i="2"/>
  <c r="J26" i="1" s="1"/>
  <c r="H234" i="3"/>
  <c r="H235" i="3" s="1"/>
  <c r="I266" i="3"/>
  <c r="I267" i="3" s="1"/>
  <c r="G10" i="3"/>
  <c r="G11" i="3" s="1"/>
  <c r="I74" i="3"/>
  <c r="I75" i="3" s="1"/>
  <c r="I306" i="3"/>
  <c r="I307" i="3" s="1"/>
  <c r="I106" i="3"/>
  <c r="I107" i="3" s="1"/>
  <c r="I10" i="3"/>
  <c r="I11" i="3" s="1"/>
  <c r="H154" i="3"/>
  <c r="H155" i="3" s="1"/>
  <c r="F274" i="3"/>
  <c r="F275" i="3" s="1"/>
  <c r="F58" i="3"/>
  <c r="F59" i="3" s="1"/>
  <c r="G242" i="3"/>
  <c r="G243" i="3" s="1"/>
  <c r="C48" i="2"/>
  <c r="I26" i="1" s="1"/>
  <c r="F282" i="3"/>
  <c r="F283" i="3" s="1"/>
  <c r="I130" i="3"/>
  <c r="I131" i="3" s="1"/>
  <c r="H146" i="3"/>
  <c r="H147" i="3" s="1"/>
  <c r="F178" i="3"/>
  <c r="F179" i="3" s="1"/>
  <c r="H26" i="3"/>
  <c r="H27" i="3" s="1"/>
  <c r="I210" i="3"/>
  <c r="I211" i="3" s="1"/>
  <c r="G330" i="3"/>
  <c r="G331" i="3" s="1"/>
  <c r="G66" i="3"/>
  <c r="G67" i="3" s="1"/>
  <c r="G170" i="3"/>
  <c r="G171" i="3" s="1"/>
  <c r="F290" i="3"/>
  <c r="F291" i="3" s="1"/>
  <c r="H106" i="3"/>
  <c r="H107" i="3" s="1"/>
  <c r="G226" i="3"/>
  <c r="G227" i="3" s="1"/>
  <c r="E48" i="2"/>
  <c r="K26" i="1" s="1"/>
  <c r="I114" i="3"/>
  <c r="I115" i="3" s="1"/>
  <c r="E53" i="2"/>
  <c r="H2" i="3"/>
  <c r="H3" i="3" s="1"/>
  <c r="I186" i="3"/>
  <c r="I187" i="3" s="1"/>
  <c r="G234" i="3"/>
  <c r="G235" i="3" s="1"/>
  <c r="G146" i="3"/>
  <c r="G147" i="3" s="1"/>
  <c r="F35" i="7"/>
  <c r="F36" i="7" s="1"/>
  <c r="H178" i="3"/>
  <c r="H179" i="3" s="1"/>
  <c r="I122" i="3"/>
  <c r="I123" i="3" s="1"/>
  <c r="F306" i="3"/>
  <c r="F307" i="3" s="1"/>
  <c r="G35" i="7"/>
  <c r="G36" i="7" s="1"/>
  <c r="H194" i="3"/>
  <c r="H195" i="3" s="1"/>
  <c r="G98" i="3"/>
  <c r="G99" i="3" s="1"/>
  <c r="F242" i="3"/>
  <c r="F243" i="3" s="1"/>
  <c r="G53" i="2"/>
  <c r="F114" i="3"/>
  <c r="F115" i="3" s="1"/>
  <c r="G50" i="3"/>
  <c r="G51" i="3" s="1"/>
  <c r="H130" i="3"/>
  <c r="H131" i="3" s="1"/>
  <c r="G154" i="3"/>
  <c r="G155" i="3" s="1"/>
  <c r="F18" i="3"/>
  <c r="F19" i="3" s="1"/>
  <c r="I138" i="3"/>
  <c r="I139" i="3" s="1"/>
  <c r="F194" i="3"/>
  <c r="F195" i="3" s="1"/>
  <c r="G282" i="3"/>
  <c r="G283" i="3" s="1"/>
  <c r="I290" i="3"/>
  <c r="I291" i="3" s="1"/>
  <c r="I36" i="7"/>
  <c r="I37" i="7" s="1"/>
  <c r="I202" i="3"/>
  <c r="I203" i="3" s="1"/>
  <c r="G194" i="3"/>
  <c r="G195" i="3" s="1"/>
  <c r="I26" i="3"/>
  <c r="I27" i="3" s="1"/>
  <c r="G210" i="3"/>
  <c r="G211" i="3" s="1"/>
  <c r="I330" i="3"/>
  <c r="I331" i="3" s="1"/>
  <c r="G74" i="3"/>
  <c r="G75" i="3" s="1"/>
  <c r="I226" i="3"/>
  <c r="I227" i="3" s="1"/>
  <c r="H138" i="3"/>
  <c r="H139" i="3" s="1"/>
  <c r="B36" i="2"/>
  <c r="G186" i="3"/>
  <c r="G187" i="3" s="1"/>
  <c r="H18" i="3"/>
  <c r="H19" i="3" s="1"/>
  <c r="I2" i="3"/>
  <c r="I3" i="3" s="1"/>
  <c r="H242" i="3"/>
  <c r="H243" i="3" s="1"/>
  <c r="G4" i="7"/>
  <c r="G5" i="7" s="1"/>
  <c r="G250" i="3"/>
  <c r="G251" i="3" s="1"/>
  <c r="G20" i="7"/>
  <c r="G21" i="7" s="1"/>
  <c r="F170" i="3"/>
  <c r="F171" i="3" s="1"/>
  <c r="H122" i="3"/>
  <c r="H123" i="3" s="1"/>
  <c r="H306" i="3"/>
  <c r="H307" i="3" s="1"/>
  <c r="F106" i="3"/>
  <c r="F107" i="3" s="1"/>
  <c r="H322" i="3"/>
  <c r="H323" i="3" s="1"/>
  <c r="F74" i="3"/>
  <c r="F75" i="3" s="1"/>
  <c r="I98" i="3"/>
  <c r="I99" i="3" s="1"/>
  <c r="I242" i="3"/>
  <c r="I243" i="3" s="1"/>
  <c r="D53" i="2"/>
  <c r="G258" i="3"/>
  <c r="G259" i="3" s="1"/>
  <c r="H218" i="3"/>
  <c r="H219" i="3" s="1"/>
  <c r="I34" i="3"/>
  <c r="I35" i="3" s="1"/>
  <c r="E14" i="6"/>
  <c r="D14" i="6"/>
</calcChain>
</file>

<file path=xl/sharedStrings.xml><?xml version="1.0" encoding="utf-8"?>
<sst xmlns="http://schemas.openxmlformats.org/spreadsheetml/2006/main" count="560" uniqueCount="178">
  <si>
    <t>Data</t>
  </si>
  <si>
    <t>Koncentration</t>
  </si>
  <si>
    <t>Replikater</t>
  </si>
  <si>
    <t>R^2</t>
  </si>
  <si>
    <t>R</t>
  </si>
  <si>
    <t>F-test</t>
  </si>
  <si>
    <t>X</t>
  </si>
  <si>
    <t>Y</t>
  </si>
  <si>
    <t>X*Y</t>
  </si>
  <si>
    <t>X-&lt;X&gt;</t>
  </si>
  <si>
    <t>Y-&lt;Y&gt;</t>
  </si>
  <si>
    <t>S_xy =</t>
  </si>
  <si>
    <t>S_xx =</t>
  </si>
  <si>
    <t>(X-&lt;X&gt;)^2</t>
  </si>
  <si>
    <t>(Y-&lt;Y&gt;)^2</t>
  </si>
  <si>
    <t>S_yy =</t>
  </si>
  <si>
    <t>Residualer</t>
  </si>
  <si>
    <t>Y estd</t>
  </si>
  <si>
    <t>S_yyestd =</t>
  </si>
  <si>
    <t>SumSquares =</t>
  </si>
  <si>
    <t>Res^2</t>
  </si>
  <si>
    <t>Ssquare =</t>
  </si>
  <si>
    <t>Sumxsquare</t>
  </si>
  <si>
    <t>Sumysquare</t>
  </si>
  <si>
    <t>= MS_reg</t>
  </si>
  <si>
    <t>dfree =</t>
  </si>
  <si>
    <t>X_detail</t>
  </si>
  <si>
    <t>Xstart =</t>
  </si>
  <si>
    <t>Xstop =</t>
  </si>
  <si>
    <t>sqrtsquare =</t>
  </si>
  <si>
    <t>Nedre 95% konfidens interval</t>
  </si>
  <si>
    <t>Øvre 95% konfidens interval</t>
  </si>
  <si>
    <t>Testdata</t>
  </si>
  <si>
    <t>X^2</t>
  </si>
  <si>
    <t>Y^2</t>
  </si>
  <si>
    <t>Ye-&lt;Y&gt;</t>
  </si>
  <si>
    <t>(Ye-&lt;Y&gt;)^2</t>
  </si>
  <si>
    <t>Nedre 99% konfidens interval</t>
  </si>
  <si>
    <t>Øvre 99% konfidens interval</t>
  </si>
  <si>
    <r>
      <t>m</t>
    </r>
    <r>
      <rPr>
        <sz val="10"/>
        <rFont val="Arial"/>
        <family val="2"/>
      </rPr>
      <t>g/L</t>
    </r>
  </si>
  <si>
    <t>Areal</t>
  </si>
  <si>
    <t>Måling nr.</t>
  </si>
  <si>
    <t>SD</t>
  </si>
  <si>
    <t>RSD (%)</t>
  </si>
  <si>
    <t>Tekster til legend i plot</t>
  </si>
  <si>
    <t>Målte data</t>
  </si>
  <si>
    <t>Lineær regression</t>
  </si>
  <si>
    <t>95 % konf. Interval</t>
  </si>
  <si>
    <t>99 % konf interval</t>
  </si>
  <si>
    <t>Est. Y</t>
  </si>
  <si>
    <t>Est. X</t>
  </si>
  <si>
    <t>LOQ =</t>
  </si>
  <si>
    <t>LOD =</t>
  </si>
  <si>
    <t>målt Y</t>
  </si>
  <si>
    <t>Middelværdi</t>
  </si>
  <si>
    <t>*</t>
  </si>
  <si>
    <t>Uvægtede residualplot</t>
  </si>
  <si>
    <t>Vægtede residualer</t>
  </si>
  <si>
    <t>ResV</t>
  </si>
  <si>
    <t>Vægtede residualplot (vægtede med koncentrationen)</t>
  </si>
  <si>
    <t>svalue</t>
  </si>
  <si>
    <t>Gværdi (95%)</t>
  </si>
  <si>
    <t>Gværdi (99%)</t>
  </si>
  <si>
    <t>replikater</t>
  </si>
  <si>
    <t>Repl.</t>
  </si>
  <si>
    <t>Datapunkt</t>
  </si>
  <si>
    <t>kS_xy =</t>
  </si>
  <si>
    <t>kS_xx =</t>
  </si>
  <si>
    <t>kS_yy =</t>
  </si>
  <si>
    <t>kS_yyestd =</t>
  </si>
  <si>
    <t>kSumSquares =</t>
  </si>
  <si>
    <t>kSsquare =</t>
  </si>
  <si>
    <t>ksvalue</t>
  </si>
  <si>
    <t>kSumxsquare</t>
  </si>
  <si>
    <t>kSumysquare</t>
  </si>
  <si>
    <t>kGværdi (95%)</t>
  </si>
  <si>
    <t>kGværdi (99%)</t>
  </si>
  <si>
    <t>ksqrtsquare =</t>
  </si>
  <si>
    <t>kdfree =</t>
  </si>
  <si>
    <t>Kontrol af Kalibrering</t>
  </si>
  <si>
    <t>Meandata</t>
  </si>
  <si>
    <t>&lt;X&gt;</t>
  </si>
  <si>
    <t>&lt;Y&gt;</t>
  </si>
  <si>
    <t>Std_exp</t>
  </si>
  <si>
    <t>ktval_95</t>
  </si>
  <si>
    <t>ktval_99</t>
  </si>
  <si>
    <t>= kMS_reg</t>
  </si>
  <si>
    <t>kXstart =</t>
  </si>
  <si>
    <t>kXstop =</t>
  </si>
  <si>
    <t>Slope to use =</t>
  </si>
  <si>
    <t>Identification</t>
  </si>
  <si>
    <t>Replicates</t>
  </si>
  <si>
    <t>Concentration</t>
  </si>
  <si>
    <t>Response</t>
  </si>
  <si>
    <t>Repeatability</t>
  </si>
  <si>
    <t>Mean</t>
  </si>
  <si>
    <t>Measurement no.</t>
  </si>
  <si>
    <t>Level 1</t>
  </si>
  <si>
    <t>Level 2</t>
  </si>
  <si>
    <t>Level 3</t>
  </si>
  <si>
    <t>Level 4</t>
  </si>
  <si>
    <t>Number of Meas.</t>
  </si>
  <si>
    <t>Standard dev.</t>
  </si>
  <si>
    <t>Slope</t>
  </si>
  <si>
    <t>Significance of regression</t>
  </si>
  <si>
    <t>Based on:</t>
  </si>
  <si>
    <t>Lowest standard</t>
  </si>
  <si>
    <t>Propability that slope is 0</t>
  </si>
  <si>
    <t>Estimated Y-value for X=0</t>
  </si>
  <si>
    <t>Estimated X-value for Y=0</t>
  </si>
  <si>
    <t>Level 5</t>
  </si>
  <si>
    <t>*Noise</t>
  </si>
  <si>
    <t xml:space="preserve">Criterium: Signal = </t>
  </si>
  <si>
    <t>Unit</t>
  </si>
  <si>
    <t>Temp. Data, don't mess with these</t>
  </si>
  <si>
    <t>Weighted residuals</t>
  </si>
  <si>
    <t>Response factor=</t>
  </si>
  <si>
    <t>Intercept</t>
  </si>
  <si>
    <t>Control1</t>
  </si>
  <si>
    <t>Control2</t>
  </si>
  <si>
    <t>Control3</t>
  </si>
  <si>
    <t>Number of measurements</t>
  </si>
  <si>
    <t>Conc. Unit</t>
  </si>
  <si>
    <t>Area</t>
  </si>
  <si>
    <t>Identification =</t>
  </si>
  <si>
    <t>Confidence intervals(+/-)</t>
  </si>
  <si>
    <t>We assume that the standard deviations for each Control sample is the samer Iter Day</t>
  </si>
  <si>
    <t>Intermdediate Reproducibilitry,  Inter Day</t>
  </si>
  <si>
    <t>Sd</t>
  </si>
  <si>
    <t>N</t>
  </si>
  <si>
    <t>Control 1</t>
  </si>
  <si>
    <t>Control 2</t>
  </si>
  <si>
    <t>Control 3</t>
  </si>
  <si>
    <t>Dif 95 %</t>
  </si>
  <si>
    <t>Dif 99 %</t>
  </si>
  <si>
    <t>DF numer</t>
  </si>
  <si>
    <t>F-crit 99 %</t>
  </si>
  <si>
    <t>Is Control 1 and Control 2 significantly different ?</t>
  </si>
  <si>
    <t xml:space="preserve">t value </t>
  </si>
  <si>
    <t>t-crit 95 %</t>
  </si>
  <si>
    <t>s-poled</t>
  </si>
  <si>
    <t>Using this:</t>
  </si>
  <si>
    <t>Bruge (1=ja, 0=nej)</t>
  </si>
  <si>
    <t>Resultat</t>
  </si>
  <si>
    <t>Slope =</t>
  </si>
  <si>
    <t>Intercept =</t>
  </si>
  <si>
    <t>Std slope =</t>
  </si>
  <si>
    <t>Std intercept =</t>
  </si>
  <si>
    <t>Std regression =</t>
  </si>
  <si>
    <t>R^2 =</t>
  </si>
  <si>
    <t>R =</t>
  </si>
  <si>
    <t>(Now using 3.2.5 in Draper&amp;Smith for calculating confidence limits)</t>
  </si>
  <si>
    <t>tval_95 =</t>
  </si>
  <si>
    <t>tval_99 =</t>
  </si>
  <si>
    <t>Confidence curves</t>
  </si>
  <si>
    <t xml:space="preserve">Upper 99% </t>
  </si>
  <si>
    <t>Lower 99%</t>
  </si>
  <si>
    <t>Lower 95%</t>
  </si>
  <si>
    <t>Upper 95%</t>
  </si>
  <si>
    <t>F value for reg.</t>
  </si>
  <si>
    <t>ResW</t>
  </si>
  <si>
    <t>Text for legend in plot</t>
  </si>
  <si>
    <t>Measured Data</t>
  </si>
  <si>
    <t>Linear regression</t>
  </si>
  <si>
    <t>Level 6</t>
  </si>
  <si>
    <t>Level 7</t>
  </si>
  <si>
    <t>Confidence Intervals (+/-)</t>
  </si>
  <si>
    <t>95 % conf. Interval</t>
  </si>
  <si>
    <t>99 % conf interval</t>
  </si>
  <si>
    <t>X*X</t>
  </si>
  <si>
    <t>second order fit</t>
  </si>
  <si>
    <t>Residual variances</t>
  </si>
  <si>
    <t>Linear</t>
  </si>
  <si>
    <t>Quadratic</t>
  </si>
  <si>
    <r>
      <t>F</t>
    </r>
    <r>
      <rPr>
        <sz val="10"/>
        <rFont val="/F"/>
      </rPr>
      <t>/F</t>
    </r>
  </si>
  <si>
    <t>Krit F-værdi</t>
  </si>
  <si>
    <r>
      <rPr>
        <sz val="10"/>
        <rFont val="Symbol"/>
        <family val="1"/>
      </rPr>
      <t>m</t>
    </r>
    <r>
      <rPr>
        <sz val="10"/>
        <rFont val="Arial"/>
        <family val="2"/>
      </rPr>
      <t>g/mL</t>
    </r>
  </si>
  <si>
    <t>Test for linearity: residual variance oflinear model versus quadratic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</si>
</sst>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E+00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/F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quotePrefix="1" applyProtection="1">
      <protection hidden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3" xfId="0" applyFont="1" applyBorder="1"/>
    <xf numFmtId="0" fontId="2" fillId="0" borderId="8" xfId="0" applyFont="1" applyBorder="1"/>
    <xf numFmtId="0" fontId="2" fillId="0" borderId="3" xfId="0" applyFont="1" applyBorder="1"/>
    <xf numFmtId="0" fontId="3" fillId="0" borderId="1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1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11" fontId="2" fillId="0" borderId="9" xfId="0" applyNumberFormat="1" applyFont="1" applyBorder="1"/>
    <xf numFmtId="11" fontId="2" fillId="0" borderId="14" xfId="0" applyNumberFormat="1" applyFont="1" applyBorder="1"/>
    <xf numFmtId="0" fontId="2" fillId="0" borderId="13" xfId="0" applyFont="1" applyBorder="1" applyAlignment="1">
      <alignment horizontal="right"/>
    </xf>
    <xf numFmtId="0" fontId="0" fillId="2" borderId="0" xfId="0" applyFill="1"/>
    <xf numFmtId="0" fontId="4" fillId="0" borderId="8" xfId="0" applyFont="1" applyBorder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Protection="1">
      <protection hidden="1"/>
    </xf>
    <xf numFmtId="0" fontId="9" fillId="3" borderId="0" xfId="0" applyFont="1" applyFill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2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2" fontId="10" fillId="0" borderId="21" xfId="0" applyNumberFormat="1" applyFont="1" applyBorder="1"/>
    <xf numFmtId="0" fontId="10" fillId="0" borderId="21" xfId="0" applyFont="1" applyBorder="1"/>
    <xf numFmtId="0" fontId="0" fillId="0" borderId="21" xfId="0" applyBorder="1"/>
    <xf numFmtId="0" fontId="8" fillId="0" borderId="1" xfId="1" applyBorder="1"/>
    <xf numFmtId="0" fontId="8" fillId="0" borderId="0" xfId="1"/>
    <xf numFmtId="0" fontId="0" fillId="0" borderId="0" xfId="0" applyAlignment="1" applyProtection="1">
      <alignment horizontal="right"/>
      <protection hidden="1"/>
    </xf>
    <xf numFmtId="168" fontId="8" fillId="0" borderId="8" xfId="1" applyNumberFormat="1" applyBorder="1"/>
    <xf numFmtId="0" fontId="7" fillId="0" borderId="8" xfId="1" applyFont="1" applyBorder="1" applyAlignment="1">
      <alignment horizontal="center" vertical="center" wrapText="1"/>
    </xf>
    <xf numFmtId="166" fontId="8" fillId="0" borderId="8" xfId="1" applyNumberFormat="1" applyBorder="1"/>
    <xf numFmtId="167" fontId="8" fillId="0" borderId="8" xfId="1" applyNumberFormat="1" applyBorder="1"/>
    <xf numFmtId="164" fontId="8" fillId="0" borderId="8" xfId="1" applyNumberFormat="1" applyBorder="1"/>
    <xf numFmtId="0" fontId="8" fillId="4" borderId="0" xfId="1" applyFill="1"/>
    <xf numFmtId="165" fontId="11" fillId="4" borderId="12" xfId="1" applyNumberFormat="1" applyFont="1" applyFill="1" applyBorder="1"/>
    <xf numFmtId="0" fontId="7" fillId="4" borderId="12" xfId="1" applyFont="1" applyFill="1" applyBorder="1" applyAlignment="1">
      <alignment horizontal="center" vertical="center" wrapText="1"/>
    </xf>
    <xf numFmtId="167" fontId="8" fillId="4" borderId="12" xfId="1" applyNumberFormat="1" applyFill="1" applyBorder="1"/>
    <xf numFmtId="164" fontId="8" fillId="4" borderId="12" xfId="1" applyNumberFormat="1" applyFill="1" applyBorder="1"/>
    <xf numFmtId="166" fontId="0" fillId="0" borderId="0" xfId="0" applyNumberFormat="1"/>
    <xf numFmtId="166" fontId="0" fillId="0" borderId="0" xfId="0" applyNumberFormat="1" applyAlignment="1" applyProtection="1">
      <alignment horizontal="left"/>
      <protection hidden="1"/>
    </xf>
    <xf numFmtId="0" fontId="4" fillId="5" borderId="8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4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/>
      <protection locked="0"/>
    </xf>
    <xf numFmtId="0" fontId="5" fillId="5" borderId="7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11" fontId="2" fillId="5" borderId="8" xfId="0" applyNumberFormat="1" applyFont="1" applyFill="1" applyBorder="1" applyAlignment="1" applyProtection="1">
      <alignment horizontal="center"/>
      <protection locked="0"/>
    </xf>
    <xf numFmtId="11" fontId="2" fillId="5" borderId="1" xfId="0" applyNumberFormat="1" applyFont="1" applyFill="1" applyBorder="1" applyAlignment="1" applyProtection="1">
      <alignment horizontal="center"/>
      <protection locked="0"/>
    </xf>
    <xf numFmtId="11" fontId="2" fillId="5" borderId="9" xfId="0" applyNumberFormat="1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 applyAlignment="1" applyProtection="1">
      <alignment horizontal="center"/>
      <protection locked="0"/>
    </xf>
    <xf numFmtId="0" fontId="2" fillId="5" borderId="0" xfId="0" applyFont="1" applyFill="1"/>
    <xf numFmtId="0" fontId="2" fillId="3" borderId="0" xfId="0" applyFont="1" applyFill="1"/>
    <xf numFmtId="0" fontId="0" fillId="3" borderId="0" xfId="0" applyFill="1"/>
    <xf numFmtId="0" fontId="0" fillId="3" borderId="12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13" xfId="0" applyFill="1" applyBorder="1" applyProtection="1">
      <protection hidden="1"/>
    </xf>
    <xf numFmtId="11" fontId="0" fillId="3" borderId="6" xfId="0" applyNumberFormat="1" applyFill="1" applyBorder="1" applyProtection="1">
      <protection hidden="1"/>
    </xf>
    <xf numFmtId="11" fontId="0" fillId="0" borderId="6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/>
    <xf numFmtId="0" fontId="0" fillId="0" borderId="3" xfId="0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Data + fit + confidence intervals for Y</a:t>
            </a:r>
          </a:p>
        </c:rich>
      </c:tx>
      <c:layout>
        <c:manualLayout>
          <c:xMode val="edge"/>
          <c:yMode val="edge"/>
          <c:x val="0.2561407313492593"/>
          <c:y val="2.8622599161086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249551551452"/>
          <c:y val="0.15026846757294307"/>
          <c:w val="0.67894853164153579"/>
          <c:h val="0.68038219730583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Formulas_and_calculations!$A$40</c:f>
              <c:strCache>
                <c:ptCount val="1"/>
                <c:pt idx="0">
                  <c:v>Measured Data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Formulas_and_calculations!$A$3:$A$23</c:f>
              <c:numCache>
                <c:formatCode>General</c:formatCode>
                <c:ptCount val="21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100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100</c:v>
                </c:pt>
              </c:numCache>
            </c:numRef>
          </c:xVal>
          <c:yVal>
            <c:numRef>
              <c:f>Formulas_and_calculations!$B$3:$B$23</c:f>
              <c:numCache>
                <c:formatCode>General</c:formatCode>
                <c:ptCount val="21"/>
                <c:pt idx="0" formatCode="0.00E+00">
                  <c:v>33.421599999999998</c:v>
                </c:pt>
                <c:pt idx="1">
                  <c:v>40.311599999999999</c:v>
                </c:pt>
                <c:pt idx="2" formatCode="0.00E+00">
                  <c:v>45.049900000000001</c:v>
                </c:pt>
                <c:pt idx="3" formatCode="0.00E+00">
                  <c:v>49.779600000000002</c:v>
                </c:pt>
                <c:pt idx="4" formatCode="0.00E+00">
                  <c:v>13</c:v>
                </c:pt>
                <c:pt idx="5" formatCode="0.00E+00">
                  <c:v>250</c:v>
                </c:pt>
                <c:pt idx="6" formatCode="0.00E+00">
                  <c:v>500</c:v>
                </c:pt>
                <c:pt idx="7">
                  <c:v>33.1526</c:v>
                </c:pt>
                <c:pt idx="8">
                  <c:v>40.311599999999999</c:v>
                </c:pt>
                <c:pt idx="9" formatCode="0.00E+00">
                  <c:v>45.018799999999999</c:v>
                </c:pt>
                <c:pt idx="10">
                  <c:v>49.794499999999999</c:v>
                </c:pt>
                <c:pt idx="11" formatCode="0.00E+00">
                  <c:v>54</c:v>
                </c:pt>
                <c:pt idx="12" formatCode="0.00E+00">
                  <c:v>249</c:v>
                </c:pt>
                <c:pt idx="13" formatCode="0.00E+00">
                  <c:v>500</c:v>
                </c:pt>
                <c:pt idx="14">
                  <c:v>33.1526</c:v>
                </c:pt>
                <c:pt idx="15">
                  <c:v>40.311599999999999</c:v>
                </c:pt>
                <c:pt idx="16" formatCode="0.00E+00">
                  <c:v>45.018799999999999</c:v>
                </c:pt>
                <c:pt idx="17">
                  <c:v>49.794499999999999</c:v>
                </c:pt>
                <c:pt idx="18" formatCode="0.00E+00">
                  <c:v>54</c:v>
                </c:pt>
                <c:pt idx="19" formatCode="0.00E+00">
                  <c:v>249</c:v>
                </c:pt>
                <c:pt idx="20" formatCode="0.00E+00">
                  <c:v>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C-0C48-91A3-AF1A10C4E454}"/>
            </c:ext>
          </c:extLst>
        </c:ser>
        <c:ser>
          <c:idx val="1"/>
          <c:order val="1"/>
          <c:tx>
            <c:strRef>
              <c:f>Formulas_and_calculations!$A$41</c:f>
              <c:strCache>
                <c:ptCount val="1"/>
                <c:pt idx="0">
                  <c:v>Linear regression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Formulas_and_calculations!$A$3:$A$23</c:f>
              <c:numCache>
                <c:formatCode>General</c:formatCode>
                <c:ptCount val="21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100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100</c:v>
                </c:pt>
              </c:numCache>
            </c:numRef>
          </c:xVal>
          <c:yVal>
            <c:numRef>
              <c:f>Formulas_and_calculations!$G$3:$G$23</c:f>
              <c:numCache>
                <c:formatCode>General</c:formatCode>
                <c:ptCount val="21"/>
                <c:pt idx="0">
                  <c:v>10.858419715960329</c:v>
                </c:pt>
                <c:pt idx="1">
                  <c:v>18.035297123473462</c:v>
                </c:pt>
                <c:pt idx="2">
                  <c:v>32.389051938499733</c:v>
                </c:pt>
                <c:pt idx="3">
                  <c:v>56.311976630210175</c:v>
                </c:pt>
                <c:pt idx="4">
                  <c:v>104.15782601363107</c:v>
                </c:pt>
                <c:pt idx="5">
                  <c:v>247.69537416389375</c:v>
                </c:pt>
                <c:pt idx="6">
                  <c:v>486.92462108099824</c:v>
                </c:pt>
                <c:pt idx="7">
                  <c:v>10.858419715960329</c:v>
                </c:pt>
                <c:pt idx="8">
                  <c:v>18.035297123473462</c:v>
                </c:pt>
                <c:pt idx="9">
                  <c:v>32.389051938499733</c:v>
                </c:pt>
                <c:pt idx="10">
                  <c:v>56.311976630210175</c:v>
                </c:pt>
                <c:pt idx="11">
                  <c:v>104.15782601363107</c:v>
                </c:pt>
                <c:pt idx="12">
                  <c:v>247.69537416389375</c:v>
                </c:pt>
                <c:pt idx="13">
                  <c:v>486.92462108099824</c:v>
                </c:pt>
                <c:pt idx="14">
                  <c:v>10.858419715960329</c:v>
                </c:pt>
                <c:pt idx="15">
                  <c:v>18.035297123473462</c:v>
                </c:pt>
                <c:pt idx="16">
                  <c:v>32.389051938499733</c:v>
                </c:pt>
                <c:pt idx="17">
                  <c:v>56.311976630210175</c:v>
                </c:pt>
                <c:pt idx="18">
                  <c:v>104.15782601363107</c:v>
                </c:pt>
                <c:pt idx="19">
                  <c:v>247.69537416389375</c:v>
                </c:pt>
                <c:pt idx="20">
                  <c:v>486.92462108099824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1C-0C48-91A3-AF1A10C4E454}"/>
            </c:ext>
          </c:extLst>
        </c:ser>
        <c:ser>
          <c:idx val="2"/>
          <c:order val="2"/>
          <c:tx>
            <c:strRef>
              <c:f>Formulas_and_calculations!$I$29</c:f>
              <c:strCache>
                <c:ptCount val="1"/>
                <c:pt idx="0">
                  <c:v>Lower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Formulas_and_calculations!$H$30:$H$80</c:f>
              <c:numCache>
                <c:formatCode>General</c:formatCode>
                <c:ptCount val="51"/>
                <c:pt idx="0">
                  <c:v>0.5</c:v>
                </c:pt>
                <c:pt idx="1">
                  <c:v>2.4900000000000002</c:v>
                </c:pt>
                <c:pt idx="2">
                  <c:v>4.4800000000000004</c:v>
                </c:pt>
                <c:pt idx="3">
                  <c:v>6.4700000000000006</c:v>
                </c:pt>
                <c:pt idx="4">
                  <c:v>8.4600000000000009</c:v>
                </c:pt>
                <c:pt idx="5">
                  <c:v>10.450000000000001</c:v>
                </c:pt>
                <c:pt idx="6">
                  <c:v>12.440000000000001</c:v>
                </c:pt>
                <c:pt idx="7">
                  <c:v>14.430000000000001</c:v>
                </c:pt>
                <c:pt idx="8">
                  <c:v>16.420000000000002</c:v>
                </c:pt>
                <c:pt idx="9">
                  <c:v>18.41</c:v>
                </c:pt>
                <c:pt idx="10">
                  <c:v>20.399999999999999</c:v>
                </c:pt>
                <c:pt idx="11">
                  <c:v>22.389999999999997</c:v>
                </c:pt>
                <c:pt idx="12">
                  <c:v>24.379999999999995</c:v>
                </c:pt>
                <c:pt idx="13">
                  <c:v>26.369999999999994</c:v>
                </c:pt>
                <c:pt idx="14">
                  <c:v>28.359999999999992</c:v>
                </c:pt>
                <c:pt idx="15">
                  <c:v>30.349999999999991</c:v>
                </c:pt>
                <c:pt idx="16">
                  <c:v>32.339999999999989</c:v>
                </c:pt>
                <c:pt idx="17">
                  <c:v>34.329999999999991</c:v>
                </c:pt>
                <c:pt idx="18">
                  <c:v>36.319999999999993</c:v>
                </c:pt>
                <c:pt idx="19">
                  <c:v>38.309999999999995</c:v>
                </c:pt>
                <c:pt idx="20">
                  <c:v>40.299999999999997</c:v>
                </c:pt>
                <c:pt idx="21">
                  <c:v>42.29</c:v>
                </c:pt>
                <c:pt idx="22">
                  <c:v>44.28</c:v>
                </c:pt>
                <c:pt idx="23">
                  <c:v>46.27</c:v>
                </c:pt>
                <c:pt idx="24">
                  <c:v>48.260000000000005</c:v>
                </c:pt>
                <c:pt idx="25">
                  <c:v>50.250000000000007</c:v>
                </c:pt>
                <c:pt idx="26">
                  <c:v>52.240000000000009</c:v>
                </c:pt>
                <c:pt idx="27">
                  <c:v>54.230000000000011</c:v>
                </c:pt>
                <c:pt idx="28">
                  <c:v>56.220000000000013</c:v>
                </c:pt>
                <c:pt idx="29">
                  <c:v>58.210000000000015</c:v>
                </c:pt>
                <c:pt idx="30">
                  <c:v>60.200000000000017</c:v>
                </c:pt>
                <c:pt idx="31">
                  <c:v>62.190000000000019</c:v>
                </c:pt>
                <c:pt idx="32">
                  <c:v>64.180000000000021</c:v>
                </c:pt>
                <c:pt idx="33">
                  <c:v>66.170000000000016</c:v>
                </c:pt>
                <c:pt idx="34">
                  <c:v>68.160000000000011</c:v>
                </c:pt>
                <c:pt idx="35">
                  <c:v>70.150000000000006</c:v>
                </c:pt>
                <c:pt idx="36">
                  <c:v>72.14</c:v>
                </c:pt>
                <c:pt idx="37">
                  <c:v>74.13</c:v>
                </c:pt>
                <c:pt idx="38">
                  <c:v>76.11999999999999</c:v>
                </c:pt>
                <c:pt idx="39">
                  <c:v>78.109999999999985</c:v>
                </c:pt>
                <c:pt idx="40">
                  <c:v>80.09999999999998</c:v>
                </c:pt>
                <c:pt idx="41">
                  <c:v>82.089999999999975</c:v>
                </c:pt>
                <c:pt idx="42">
                  <c:v>84.07999999999997</c:v>
                </c:pt>
                <c:pt idx="43">
                  <c:v>86.069999999999965</c:v>
                </c:pt>
                <c:pt idx="44">
                  <c:v>88.05999999999996</c:v>
                </c:pt>
                <c:pt idx="45">
                  <c:v>90.049999999999955</c:v>
                </c:pt>
                <c:pt idx="46">
                  <c:v>92.039999999999949</c:v>
                </c:pt>
                <c:pt idx="47">
                  <c:v>94.029999999999944</c:v>
                </c:pt>
                <c:pt idx="48">
                  <c:v>96.019999999999939</c:v>
                </c:pt>
                <c:pt idx="49">
                  <c:v>98.009999999999934</c:v>
                </c:pt>
                <c:pt idx="50">
                  <c:v>99.999999999999929</c:v>
                </c:pt>
              </c:numCache>
            </c:numRef>
          </c:xVal>
          <c:yVal>
            <c:numRef>
              <c:f>Formulas_and_calculations!$I$30:$I$80</c:f>
              <c:numCache>
                <c:formatCode>General</c:formatCode>
                <c:ptCount val="51"/>
                <c:pt idx="0">
                  <c:v>-65.446492922214716</c:v>
                </c:pt>
                <c:pt idx="1">
                  <c:v>-55.776494619119106</c:v>
                </c:pt>
                <c:pt idx="2">
                  <c:v>-46.117937401511121</c:v>
                </c:pt>
                <c:pt idx="3">
                  <c:v>-36.470883334071772</c:v>
                </c:pt>
                <c:pt idx="4">
                  <c:v>-26.835389673695381</c:v>
                </c:pt>
                <c:pt idx="5">
                  <c:v>-17.211508742319715</c:v>
                </c:pt>
                <c:pt idx="6">
                  <c:v>-7.5992878094680378</c:v>
                </c:pt>
                <c:pt idx="7">
                  <c:v>2.00123101489487</c:v>
                </c:pt>
                <c:pt idx="8">
                  <c:v>11.590010876635745</c:v>
                </c:pt>
                <c:pt idx="9">
                  <c:v>21.167020262348274</c:v>
                </c:pt>
                <c:pt idx="10">
                  <c:v>30.732233072419717</c:v>
                </c:pt>
                <c:pt idx="11">
                  <c:v>40.285628681875991</c:v>
                </c:pt>
                <c:pt idx="12">
                  <c:v>49.827191988676617</c:v>
                </c:pt>
                <c:pt idx="13">
                  <c:v>59.356913449196242</c:v>
                </c:pt>
                <c:pt idx="14">
                  <c:v>68.874789100698948</c:v>
                </c:pt>
                <c:pt idx="15">
                  <c:v>78.380820570681877</c:v>
                </c:pt>
                <c:pt idx="16">
                  <c:v>87.875015073037019</c:v>
                </c:pt>
                <c:pt idx="17">
                  <c:v>97.35738539105202</c:v>
                </c:pt>
                <c:pt idx="18">
                  <c:v>106.82794984734348</c:v>
                </c:pt>
                <c:pt idx="19">
                  <c:v>116.28673226088755</c:v>
                </c:pt>
                <c:pt idx="20">
                  <c:v>125.73376189138193</c:v>
                </c:pt>
                <c:pt idx="21">
                  <c:v>135.16907337124144</c:v>
                </c:pt>
                <c:pt idx="22">
                  <c:v>144.59270662559297</c:v>
                </c:pt>
                <c:pt idx="23">
                  <c:v>154.00470678069746</c:v>
                </c:pt>
                <c:pt idx="24">
                  <c:v>163.40512406128315</c:v>
                </c:pt>
                <c:pt idx="25">
                  <c:v>172.79401367732572</c:v>
                </c:pt>
                <c:pt idx="26">
                  <c:v>182.17143570086063</c:v>
                </c:pt>
                <c:pt idx="27">
                  <c:v>191.53745493345167</c:v>
                </c:pt>
                <c:pt idx="28">
                  <c:v>200.8921407649807</c:v>
                </c:pt>
                <c:pt idx="29">
                  <c:v>210.23556702444853</c:v>
                </c:pt>
                <c:pt idx="30">
                  <c:v>219.56781182350863</c:v>
                </c:pt>
                <c:pt idx="31">
                  <c:v>228.8889573934668</c:v>
                </c:pt>
                <c:pt idx="32">
                  <c:v>238.19908991649999</c:v>
                </c:pt>
                <c:pt idx="33">
                  <c:v>247.49829935184965</c:v>
                </c:pt>
                <c:pt idx="34">
                  <c:v>256.78667925774812</c:v>
                </c:pt>
                <c:pt idx="35">
                  <c:v>266.06432660983455</c:v>
                </c:pt>
                <c:pt idx="36">
                  <c:v>275.33134161680448</c:v>
                </c:pt>
                <c:pt idx="37">
                  <c:v>284.58782753402602</c:v>
                </c:pt>
                <c:pt idx="38">
                  <c:v>293.8338904758366</c:v>
                </c:pt>
                <c:pt idx="39">
                  <c:v>303.06963922721167</c:v>
                </c:pt>
                <c:pt idx="40">
                  <c:v>312.2951850554694</c:v>
                </c:pt>
                <c:pt idx="41">
                  <c:v>321.51064152265104</c:v>
                </c:pt>
                <c:pt idx="42">
                  <c:v>330.71612429917712</c:v>
                </c:pt>
                <c:pt idx="43">
                  <c:v>339.91175097935206</c:v>
                </c:pt>
                <c:pt idx="44">
                  <c:v>349.09764089925062</c:v>
                </c:pt>
                <c:pt idx="45">
                  <c:v>358.27391495748049</c:v>
                </c:pt>
                <c:pt idx="46">
                  <c:v>367.44069543928038</c:v>
                </c:pt>
                <c:pt idx="47">
                  <c:v>376.59810584436951</c:v>
                </c:pt>
                <c:pt idx="48">
                  <c:v>385.74627071892712</c:v>
                </c:pt>
                <c:pt idx="49">
                  <c:v>394.88531549204095</c:v>
                </c:pt>
                <c:pt idx="50">
                  <c:v>404.01536631692306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1C-0C48-91A3-AF1A10C4E454}"/>
            </c:ext>
          </c:extLst>
        </c:ser>
        <c:ser>
          <c:idx val="3"/>
          <c:order val="3"/>
          <c:tx>
            <c:strRef>
              <c:f>Formulas_and_calculations!$J$29</c:f>
              <c:strCache>
                <c:ptCount val="1"/>
                <c:pt idx="0">
                  <c:v>Upper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Formulas_and_calculations!$H$30:$H$80</c:f>
              <c:numCache>
                <c:formatCode>General</c:formatCode>
                <c:ptCount val="51"/>
                <c:pt idx="0">
                  <c:v>0.5</c:v>
                </c:pt>
                <c:pt idx="1">
                  <c:v>2.4900000000000002</c:v>
                </c:pt>
                <c:pt idx="2">
                  <c:v>4.4800000000000004</c:v>
                </c:pt>
                <c:pt idx="3">
                  <c:v>6.4700000000000006</c:v>
                </c:pt>
                <c:pt idx="4">
                  <c:v>8.4600000000000009</c:v>
                </c:pt>
                <c:pt idx="5">
                  <c:v>10.450000000000001</c:v>
                </c:pt>
                <c:pt idx="6">
                  <c:v>12.440000000000001</c:v>
                </c:pt>
                <c:pt idx="7">
                  <c:v>14.430000000000001</c:v>
                </c:pt>
                <c:pt idx="8">
                  <c:v>16.420000000000002</c:v>
                </c:pt>
                <c:pt idx="9">
                  <c:v>18.41</c:v>
                </c:pt>
                <c:pt idx="10">
                  <c:v>20.399999999999999</c:v>
                </c:pt>
                <c:pt idx="11">
                  <c:v>22.389999999999997</c:v>
                </c:pt>
                <c:pt idx="12">
                  <c:v>24.379999999999995</c:v>
                </c:pt>
                <c:pt idx="13">
                  <c:v>26.369999999999994</c:v>
                </c:pt>
                <c:pt idx="14">
                  <c:v>28.359999999999992</c:v>
                </c:pt>
                <c:pt idx="15">
                  <c:v>30.349999999999991</c:v>
                </c:pt>
                <c:pt idx="16">
                  <c:v>32.339999999999989</c:v>
                </c:pt>
                <c:pt idx="17">
                  <c:v>34.329999999999991</c:v>
                </c:pt>
                <c:pt idx="18">
                  <c:v>36.319999999999993</c:v>
                </c:pt>
                <c:pt idx="19">
                  <c:v>38.309999999999995</c:v>
                </c:pt>
                <c:pt idx="20">
                  <c:v>40.299999999999997</c:v>
                </c:pt>
                <c:pt idx="21">
                  <c:v>42.29</c:v>
                </c:pt>
                <c:pt idx="22">
                  <c:v>44.28</c:v>
                </c:pt>
                <c:pt idx="23">
                  <c:v>46.27</c:v>
                </c:pt>
                <c:pt idx="24">
                  <c:v>48.260000000000005</c:v>
                </c:pt>
                <c:pt idx="25">
                  <c:v>50.250000000000007</c:v>
                </c:pt>
                <c:pt idx="26">
                  <c:v>52.240000000000009</c:v>
                </c:pt>
                <c:pt idx="27">
                  <c:v>54.230000000000011</c:v>
                </c:pt>
                <c:pt idx="28">
                  <c:v>56.220000000000013</c:v>
                </c:pt>
                <c:pt idx="29">
                  <c:v>58.210000000000015</c:v>
                </c:pt>
                <c:pt idx="30">
                  <c:v>60.200000000000017</c:v>
                </c:pt>
                <c:pt idx="31">
                  <c:v>62.190000000000019</c:v>
                </c:pt>
                <c:pt idx="32">
                  <c:v>64.180000000000021</c:v>
                </c:pt>
                <c:pt idx="33">
                  <c:v>66.170000000000016</c:v>
                </c:pt>
                <c:pt idx="34">
                  <c:v>68.160000000000011</c:v>
                </c:pt>
                <c:pt idx="35">
                  <c:v>70.150000000000006</c:v>
                </c:pt>
                <c:pt idx="36">
                  <c:v>72.14</c:v>
                </c:pt>
                <c:pt idx="37">
                  <c:v>74.13</c:v>
                </c:pt>
                <c:pt idx="38">
                  <c:v>76.11999999999999</c:v>
                </c:pt>
                <c:pt idx="39">
                  <c:v>78.109999999999985</c:v>
                </c:pt>
                <c:pt idx="40">
                  <c:v>80.09999999999998</c:v>
                </c:pt>
                <c:pt idx="41">
                  <c:v>82.089999999999975</c:v>
                </c:pt>
                <c:pt idx="42">
                  <c:v>84.07999999999997</c:v>
                </c:pt>
                <c:pt idx="43">
                  <c:v>86.069999999999965</c:v>
                </c:pt>
                <c:pt idx="44">
                  <c:v>88.05999999999996</c:v>
                </c:pt>
                <c:pt idx="45">
                  <c:v>90.049999999999955</c:v>
                </c:pt>
                <c:pt idx="46">
                  <c:v>92.039999999999949</c:v>
                </c:pt>
                <c:pt idx="47">
                  <c:v>94.029999999999944</c:v>
                </c:pt>
                <c:pt idx="48">
                  <c:v>96.019999999999939</c:v>
                </c:pt>
                <c:pt idx="49">
                  <c:v>98.009999999999934</c:v>
                </c:pt>
                <c:pt idx="50">
                  <c:v>99.999999999999929</c:v>
                </c:pt>
              </c:numCache>
            </c:numRef>
          </c:xVal>
          <c:yVal>
            <c:numRef>
              <c:f>Formulas_and_calculations!$J$30:$J$80</c:f>
              <c:numCache>
                <c:formatCode>General</c:formatCode>
                <c:ptCount val="51"/>
                <c:pt idx="0">
                  <c:v>87.163332354135363</c:v>
                </c:pt>
                <c:pt idx="1">
                  <c:v>96.535982105641281</c:v>
                </c:pt>
                <c:pt idx="2">
                  <c:v>105.92007294263482</c:v>
                </c:pt>
                <c:pt idx="3">
                  <c:v>115.31566692979698</c:v>
                </c:pt>
                <c:pt idx="4">
                  <c:v>124.72282132402211</c:v>
                </c:pt>
                <c:pt idx="5">
                  <c:v>134.14158844724795</c:v>
                </c:pt>
                <c:pt idx="6">
                  <c:v>143.57201556899781</c:v>
                </c:pt>
                <c:pt idx="7">
                  <c:v>153.01414479923639</c:v>
                </c:pt>
                <c:pt idx="8">
                  <c:v>162.46801299209704</c:v>
                </c:pt>
                <c:pt idx="9">
                  <c:v>171.93365166098602</c:v>
                </c:pt>
                <c:pt idx="10">
                  <c:v>181.41108690551607</c:v>
                </c:pt>
                <c:pt idx="11">
                  <c:v>190.90033935066128</c:v>
                </c:pt>
                <c:pt idx="12">
                  <c:v>200.40142409846217</c:v>
                </c:pt>
                <c:pt idx="13">
                  <c:v>209.91435069254405</c:v>
                </c:pt>
                <c:pt idx="14">
                  <c:v>219.43912309564286</c:v>
                </c:pt>
                <c:pt idx="15">
                  <c:v>228.97573968026143</c:v>
                </c:pt>
                <c:pt idx="16">
                  <c:v>238.52419323250777</c:v>
                </c:pt>
                <c:pt idx="17">
                  <c:v>248.08447096909433</c:v>
                </c:pt>
                <c:pt idx="18">
                  <c:v>257.65655456740438</c:v>
                </c:pt>
                <c:pt idx="19">
                  <c:v>267.24042020846184</c:v>
                </c:pt>
                <c:pt idx="20">
                  <c:v>276.83603863256894</c:v>
                </c:pt>
                <c:pt idx="21">
                  <c:v>286.44337520731102</c:v>
                </c:pt>
                <c:pt idx="22">
                  <c:v>296.06239000756102</c:v>
                </c:pt>
                <c:pt idx="23">
                  <c:v>305.69303790705806</c:v>
                </c:pt>
                <c:pt idx="24">
                  <c:v>315.3352686810739</c:v>
                </c:pt>
                <c:pt idx="25">
                  <c:v>324.98902711963285</c:v>
                </c:pt>
                <c:pt idx="26">
                  <c:v>334.6542531506995</c:v>
                </c:pt>
                <c:pt idx="27">
                  <c:v>344.33088197270996</c:v>
                </c:pt>
                <c:pt idx="28">
                  <c:v>354.01884419578255</c:v>
                </c:pt>
                <c:pt idx="29">
                  <c:v>363.7180659909161</c:v>
                </c:pt>
                <c:pt idx="30">
                  <c:v>373.42846924645761</c:v>
                </c:pt>
                <c:pt idx="31">
                  <c:v>383.14997173110106</c:v>
                </c:pt>
                <c:pt idx="32">
                  <c:v>392.88248726266926</c:v>
                </c:pt>
                <c:pt idx="33">
                  <c:v>402.62592588192121</c:v>
                </c:pt>
                <c:pt idx="34">
                  <c:v>412.38019403062412</c:v>
                </c:pt>
                <c:pt idx="35">
                  <c:v>422.14519473313908</c:v>
                </c:pt>
                <c:pt idx="36">
                  <c:v>431.92082778077076</c:v>
                </c:pt>
                <c:pt idx="37">
                  <c:v>441.70698991815061</c:v>
                </c:pt>
                <c:pt idx="38">
                  <c:v>451.50357503094142</c:v>
                </c:pt>
                <c:pt idx="39">
                  <c:v>461.31047433416796</c:v>
                </c:pt>
                <c:pt idx="40">
                  <c:v>471.12757656051161</c:v>
                </c:pt>
                <c:pt idx="41">
                  <c:v>480.95476814793136</c:v>
                </c:pt>
                <c:pt idx="42">
                  <c:v>490.79193342600689</c:v>
                </c:pt>
                <c:pt idx="43">
                  <c:v>500.63895480043334</c:v>
                </c:pt>
                <c:pt idx="44">
                  <c:v>510.4957129351364</c:v>
                </c:pt>
                <c:pt idx="45">
                  <c:v>520.36208693150797</c:v>
                </c:pt>
                <c:pt idx="46">
                  <c:v>530.23795450430941</c:v>
                </c:pt>
                <c:pt idx="47">
                  <c:v>540.12319215382183</c:v>
                </c:pt>
                <c:pt idx="48">
                  <c:v>550.01767533386567</c:v>
                </c:pt>
                <c:pt idx="49">
                  <c:v>559.92127861535323</c:v>
                </c:pt>
                <c:pt idx="50">
                  <c:v>569.83387584507273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1C-0C48-91A3-AF1A10C4E454}"/>
            </c:ext>
          </c:extLst>
        </c:ser>
        <c:ser>
          <c:idx val="4"/>
          <c:order val="4"/>
          <c:tx>
            <c:strRef>
              <c:f>Formulas_and_calculations!$K$29</c:f>
              <c:strCache>
                <c:ptCount val="1"/>
                <c:pt idx="0">
                  <c:v>Lower 99%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Formulas_and_calculations!$H$30:$H$80</c:f>
              <c:numCache>
                <c:formatCode>General</c:formatCode>
                <c:ptCount val="51"/>
                <c:pt idx="0">
                  <c:v>0.5</c:v>
                </c:pt>
                <c:pt idx="1">
                  <c:v>2.4900000000000002</c:v>
                </c:pt>
                <c:pt idx="2">
                  <c:v>4.4800000000000004</c:v>
                </c:pt>
                <c:pt idx="3">
                  <c:v>6.4700000000000006</c:v>
                </c:pt>
                <c:pt idx="4">
                  <c:v>8.4600000000000009</c:v>
                </c:pt>
                <c:pt idx="5">
                  <c:v>10.450000000000001</c:v>
                </c:pt>
                <c:pt idx="6">
                  <c:v>12.440000000000001</c:v>
                </c:pt>
                <c:pt idx="7">
                  <c:v>14.430000000000001</c:v>
                </c:pt>
                <c:pt idx="8">
                  <c:v>16.420000000000002</c:v>
                </c:pt>
                <c:pt idx="9">
                  <c:v>18.41</c:v>
                </c:pt>
                <c:pt idx="10">
                  <c:v>20.399999999999999</c:v>
                </c:pt>
                <c:pt idx="11">
                  <c:v>22.389999999999997</c:v>
                </c:pt>
                <c:pt idx="12">
                  <c:v>24.379999999999995</c:v>
                </c:pt>
                <c:pt idx="13">
                  <c:v>26.369999999999994</c:v>
                </c:pt>
                <c:pt idx="14">
                  <c:v>28.359999999999992</c:v>
                </c:pt>
                <c:pt idx="15">
                  <c:v>30.349999999999991</c:v>
                </c:pt>
                <c:pt idx="16">
                  <c:v>32.339999999999989</c:v>
                </c:pt>
                <c:pt idx="17">
                  <c:v>34.329999999999991</c:v>
                </c:pt>
                <c:pt idx="18">
                  <c:v>36.319999999999993</c:v>
                </c:pt>
                <c:pt idx="19">
                  <c:v>38.309999999999995</c:v>
                </c:pt>
                <c:pt idx="20">
                  <c:v>40.299999999999997</c:v>
                </c:pt>
                <c:pt idx="21">
                  <c:v>42.29</c:v>
                </c:pt>
                <c:pt idx="22">
                  <c:v>44.28</c:v>
                </c:pt>
                <c:pt idx="23">
                  <c:v>46.27</c:v>
                </c:pt>
                <c:pt idx="24">
                  <c:v>48.260000000000005</c:v>
                </c:pt>
                <c:pt idx="25">
                  <c:v>50.250000000000007</c:v>
                </c:pt>
                <c:pt idx="26">
                  <c:v>52.240000000000009</c:v>
                </c:pt>
                <c:pt idx="27">
                  <c:v>54.230000000000011</c:v>
                </c:pt>
                <c:pt idx="28">
                  <c:v>56.220000000000013</c:v>
                </c:pt>
                <c:pt idx="29">
                  <c:v>58.210000000000015</c:v>
                </c:pt>
                <c:pt idx="30">
                  <c:v>60.200000000000017</c:v>
                </c:pt>
                <c:pt idx="31">
                  <c:v>62.190000000000019</c:v>
                </c:pt>
                <c:pt idx="32">
                  <c:v>64.180000000000021</c:v>
                </c:pt>
                <c:pt idx="33">
                  <c:v>66.170000000000016</c:v>
                </c:pt>
                <c:pt idx="34">
                  <c:v>68.160000000000011</c:v>
                </c:pt>
                <c:pt idx="35">
                  <c:v>70.150000000000006</c:v>
                </c:pt>
                <c:pt idx="36">
                  <c:v>72.14</c:v>
                </c:pt>
                <c:pt idx="37">
                  <c:v>74.13</c:v>
                </c:pt>
                <c:pt idx="38">
                  <c:v>76.11999999999999</c:v>
                </c:pt>
                <c:pt idx="39">
                  <c:v>78.109999999999985</c:v>
                </c:pt>
                <c:pt idx="40">
                  <c:v>80.09999999999998</c:v>
                </c:pt>
                <c:pt idx="41">
                  <c:v>82.089999999999975</c:v>
                </c:pt>
                <c:pt idx="42">
                  <c:v>84.07999999999997</c:v>
                </c:pt>
                <c:pt idx="43">
                  <c:v>86.069999999999965</c:v>
                </c:pt>
                <c:pt idx="44">
                  <c:v>88.05999999999996</c:v>
                </c:pt>
                <c:pt idx="45">
                  <c:v>90.049999999999955</c:v>
                </c:pt>
                <c:pt idx="46">
                  <c:v>92.039999999999949</c:v>
                </c:pt>
                <c:pt idx="47">
                  <c:v>94.029999999999944</c:v>
                </c:pt>
                <c:pt idx="48">
                  <c:v>96.019999999999939</c:v>
                </c:pt>
                <c:pt idx="49">
                  <c:v>98.009999999999934</c:v>
                </c:pt>
                <c:pt idx="50">
                  <c:v>99.999999999999929</c:v>
                </c:pt>
              </c:numCache>
            </c:numRef>
          </c:xVal>
          <c:yVal>
            <c:numRef>
              <c:f>Formulas_and_calculations!$K$30:$K$80</c:f>
              <c:numCache>
                <c:formatCode>General</c:formatCode>
                <c:ptCount val="51"/>
                <c:pt idx="0">
                  <c:v>-88.659444716347508</c:v>
                </c:pt>
                <c:pt idx="1">
                  <c:v>-78.944217755256858</c:v>
                </c:pt>
                <c:pt idx="2">
                  <c:v>-69.243912407403798</c:v>
                </c:pt>
                <c:pt idx="3">
                  <c:v>-59.55860961835657</c:v>
                </c:pt>
                <c:pt idx="4">
                  <c:v>-49.888384063305118</c:v>
                </c:pt>
                <c:pt idx="5">
                  <c:v>-40.233303981204578</c:v>
                </c:pt>
                <c:pt idx="6">
                  <c:v>-30.593431021585062</c:v>
                </c:pt>
                <c:pt idx="7">
                  <c:v>-20.968820104813005</c:v>
                </c:pt>
                <c:pt idx="8">
                  <c:v>-11.359519296530777</c:v>
                </c:pt>
                <c:pt idx="9">
                  <c:v>-1.7655696969347474</c:v>
                </c:pt>
                <c:pt idx="10">
                  <c:v>7.8129946545189597</c:v>
                </c:pt>
                <c:pt idx="11">
                  <c:v>17.376146858469582</c:v>
                </c:pt>
                <c:pt idx="12">
                  <c:v>26.923867218638534</c:v>
                </c:pt>
                <c:pt idx="13">
                  <c:v>36.456143288104869</c:v>
                </c:pt>
                <c:pt idx="14">
                  <c:v>45.97296989861664</c:v>
                </c:pt>
                <c:pt idx="15">
                  <c:v>55.474349172776854</c:v>
                </c:pt>
                <c:pt idx="16">
                  <c:v>64.96029051903777</c:v>
                </c:pt>
                <c:pt idx="17">
                  <c:v>74.430810609530184</c:v>
                </c:pt>
                <c:pt idx="18">
                  <c:v>83.885933340850173</c:v>
                </c:pt>
                <c:pt idx="19">
                  <c:v>93.325689778017789</c:v>
                </c:pt>
                <c:pt idx="20">
                  <c:v>102.75011808191321</c:v>
                </c:pt>
                <c:pt idx="21">
                  <c:v>112.15926342058452</c:v>
                </c:pt>
                <c:pt idx="22">
                  <c:v>121.55317786490403</c:v>
                </c:pt>
                <c:pt idx="23">
                  <c:v>130.93192026913118</c:v>
                </c:pt>
                <c:pt idx="24">
                  <c:v>140.29555613701291</c:v>
                </c:pt>
                <c:pt idx="25">
                  <c:v>149.64415747412124</c:v>
                </c:pt>
                <c:pt idx="26">
                  <c:v>158.97780262718993</c:v>
                </c:pt>
                <c:pt idx="27">
                  <c:v>168.29657611126558</c:v>
                </c:pt>
                <c:pt idx="28">
                  <c:v>177.600568425539</c:v>
                </c:pt>
                <c:pt idx="29">
                  <c:v>186.8898758587581</c:v>
                </c:pt>
                <c:pt idx="30">
                  <c:v>196.16460028516229</c:v>
                </c:pt>
                <c:pt idx="31">
                  <c:v>205.42484895189551</c:v>
                </c:pt>
                <c:pt idx="32">
                  <c:v>214.67073425887932</c:v>
                </c:pt>
                <c:pt idx="33">
                  <c:v>223.90237353213229</c:v>
                </c:pt>
                <c:pt idx="34">
                  <c:v>233.11988879152398</c:v>
                </c:pt>
                <c:pt idx="35">
                  <c:v>242.3234065139504</c:v>
                </c:pt>
                <c:pt idx="36">
                  <c:v>251.51305739290223</c:v>
                </c:pt>
                <c:pt idx="37">
                  <c:v>260.68897609538004</c:v>
                </c:pt>
                <c:pt idx="38">
                  <c:v>269.8513010170899</c:v>
                </c:pt>
                <c:pt idx="39">
                  <c:v>279.00017403681852</c:v>
                </c:pt>
                <c:pt idx="40">
                  <c:v>288.13574027085673</c:v>
                </c:pt>
                <c:pt idx="41">
                  <c:v>297.25814782830298</c:v>
                </c:pt>
                <c:pt idx="42">
                  <c:v>306.36754756803174</c:v>
                </c:pt>
                <c:pt idx="43">
                  <c:v>315.46409285807181</c:v>
                </c:pt>
                <c:pt idx="44">
                  <c:v>324.54793933809185</c:v>
                </c:pt>
                <c:pt idx="45">
                  <c:v>333.61924468563603</c:v>
                </c:pt>
                <c:pt idx="46">
                  <c:v>342.67816838671126</c:v>
                </c:pt>
                <c:pt idx="47">
                  <c:v>351.72487151126552</c:v>
                </c:pt>
                <c:pt idx="48">
                  <c:v>360.75951649405357</c:v>
                </c:pt>
                <c:pt idx="49">
                  <c:v>369.78226692133137</c:v>
                </c:pt>
                <c:pt idx="50">
                  <c:v>378.79328732376678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1C-0C48-91A3-AF1A10C4E454}"/>
            </c:ext>
          </c:extLst>
        </c:ser>
        <c:ser>
          <c:idx val="5"/>
          <c:order val="5"/>
          <c:tx>
            <c:strRef>
              <c:f>Formulas_and_calculations!$L$29</c:f>
              <c:strCache>
                <c:ptCount val="1"/>
                <c:pt idx="0">
                  <c:v>Upper 99% 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Formulas_and_calculations!$H$30:$H$80</c:f>
              <c:numCache>
                <c:formatCode>General</c:formatCode>
                <c:ptCount val="51"/>
                <c:pt idx="0">
                  <c:v>0.5</c:v>
                </c:pt>
                <c:pt idx="1">
                  <c:v>2.4900000000000002</c:v>
                </c:pt>
                <c:pt idx="2">
                  <c:v>4.4800000000000004</c:v>
                </c:pt>
                <c:pt idx="3">
                  <c:v>6.4700000000000006</c:v>
                </c:pt>
                <c:pt idx="4">
                  <c:v>8.4600000000000009</c:v>
                </c:pt>
                <c:pt idx="5">
                  <c:v>10.450000000000001</c:v>
                </c:pt>
                <c:pt idx="6">
                  <c:v>12.440000000000001</c:v>
                </c:pt>
                <c:pt idx="7">
                  <c:v>14.430000000000001</c:v>
                </c:pt>
                <c:pt idx="8">
                  <c:v>16.420000000000002</c:v>
                </c:pt>
                <c:pt idx="9">
                  <c:v>18.41</c:v>
                </c:pt>
                <c:pt idx="10">
                  <c:v>20.399999999999999</c:v>
                </c:pt>
                <c:pt idx="11">
                  <c:v>22.389999999999997</c:v>
                </c:pt>
                <c:pt idx="12">
                  <c:v>24.379999999999995</c:v>
                </c:pt>
                <c:pt idx="13">
                  <c:v>26.369999999999994</c:v>
                </c:pt>
                <c:pt idx="14">
                  <c:v>28.359999999999992</c:v>
                </c:pt>
                <c:pt idx="15">
                  <c:v>30.349999999999991</c:v>
                </c:pt>
                <c:pt idx="16">
                  <c:v>32.339999999999989</c:v>
                </c:pt>
                <c:pt idx="17">
                  <c:v>34.329999999999991</c:v>
                </c:pt>
                <c:pt idx="18">
                  <c:v>36.319999999999993</c:v>
                </c:pt>
                <c:pt idx="19">
                  <c:v>38.309999999999995</c:v>
                </c:pt>
                <c:pt idx="20">
                  <c:v>40.299999999999997</c:v>
                </c:pt>
                <c:pt idx="21">
                  <c:v>42.29</c:v>
                </c:pt>
                <c:pt idx="22">
                  <c:v>44.28</c:v>
                </c:pt>
                <c:pt idx="23">
                  <c:v>46.27</c:v>
                </c:pt>
                <c:pt idx="24">
                  <c:v>48.260000000000005</c:v>
                </c:pt>
                <c:pt idx="25">
                  <c:v>50.250000000000007</c:v>
                </c:pt>
                <c:pt idx="26">
                  <c:v>52.240000000000009</c:v>
                </c:pt>
                <c:pt idx="27">
                  <c:v>54.230000000000011</c:v>
                </c:pt>
                <c:pt idx="28">
                  <c:v>56.220000000000013</c:v>
                </c:pt>
                <c:pt idx="29">
                  <c:v>58.210000000000015</c:v>
                </c:pt>
                <c:pt idx="30">
                  <c:v>60.200000000000017</c:v>
                </c:pt>
                <c:pt idx="31">
                  <c:v>62.190000000000019</c:v>
                </c:pt>
                <c:pt idx="32">
                  <c:v>64.180000000000021</c:v>
                </c:pt>
                <c:pt idx="33">
                  <c:v>66.170000000000016</c:v>
                </c:pt>
                <c:pt idx="34">
                  <c:v>68.160000000000011</c:v>
                </c:pt>
                <c:pt idx="35">
                  <c:v>70.150000000000006</c:v>
                </c:pt>
                <c:pt idx="36">
                  <c:v>72.14</c:v>
                </c:pt>
                <c:pt idx="37">
                  <c:v>74.13</c:v>
                </c:pt>
                <c:pt idx="38">
                  <c:v>76.11999999999999</c:v>
                </c:pt>
                <c:pt idx="39">
                  <c:v>78.109999999999985</c:v>
                </c:pt>
                <c:pt idx="40">
                  <c:v>80.09999999999998</c:v>
                </c:pt>
                <c:pt idx="41">
                  <c:v>82.089999999999975</c:v>
                </c:pt>
                <c:pt idx="42">
                  <c:v>84.07999999999997</c:v>
                </c:pt>
                <c:pt idx="43">
                  <c:v>86.069999999999965</c:v>
                </c:pt>
                <c:pt idx="44">
                  <c:v>88.05999999999996</c:v>
                </c:pt>
                <c:pt idx="45">
                  <c:v>90.049999999999955</c:v>
                </c:pt>
                <c:pt idx="46">
                  <c:v>92.039999999999949</c:v>
                </c:pt>
                <c:pt idx="47">
                  <c:v>94.029999999999944</c:v>
                </c:pt>
                <c:pt idx="48">
                  <c:v>96.019999999999939</c:v>
                </c:pt>
                <c:pt idx="49">
                  <c:v>98.009999999999934</c:v>
                </c:pt>
                <c:pt idx="50">
                  <c:v>99.999999999999929</c:v>
                </c:pt>
              </c:numCache>
            </c:numRef>
          </c:xVal>
          <c:yVal>
            <c:numRef>
              <c:f>Formulas_and_calculations!$L$30:$L$80</c:f>
              <c:numCache>
                <c:formatCode>General</c:formatCode>
                <c:ptCount val="51"/>
                <c:pt idx="0">
                  <c:v>110.37628414826816</c:v>
                </c:pt>
                <c:pt idx="1">
                  <c:v>119.70370524177903</c:v>
                </c:pt>
                <c:pt idx="2">
                  <c:v>129.0460479485275</c:v>
                </c:pt>
                <c:pt idx="3">
                  <c:v>138.40339321408177</c:v>
                </c:pt>
                <c:pt idx="4">
                  <c:v>147.77581571363183</c:v>
                </c:pt>
                <c:pt idx="5">
                  <c:v>157.16338368613282</c:v>
                </c:pt>
                <c:pt idx="6">
                  <c:v>166.56615878111484</c:v>
                </c:pt>
                <c:pt idx="7">
                  <c:v>175.98419591894427</c:v>
                </c:pt>
                <c:pt idx="8">
                  <c:v>185.41754316526357</c:v>
                </c:pt>
                <c:pt idx="9">
                  <c:v>194.86624162026902</c:v>
                </c:pt>
                <c:pt idx="10">
                  <c:v>204.33032532341684</c:v>
                </c:pt>
                <c:pt idx="11">
                  <c:v>213.80982117406771</c:v>
                </c:pt>
                <c:pt idx="12">
                  <c:v>223.30474886850027</c:v>
                </c:pt>
                <c:pt idx="13">
                  <c:v>232.81512085363542</c:v>
                </c:pt>
                <c:pt idx="14">
                  <c:v>242.34094229772515</c:v>
                </c:pt>
                <c:pt idx="15">
                  <c:v>251.88221107816645</c:v>
                </c:pt>
                <c:pt idx="16">
                  <c:v>261.43891778650703</c:v>
                </c:pt>
                <c:pt idx="17">
                  <c:v>271.01104575061618</c:v>
                </c:pt>
                <c:pt idx="18">
                  <c:v>280.59857107389769</c:v>
                </c:pt>
                <c:pt idx="19">
                  <c:v>290.20146269133159</c:v>
                </c:pt>
                <c:pt idx="20">
                  <c:v>299.81968244203767</c:v>
                </c:pt>
                <c:pt idx="21">
                  <c:v>309.45318515796794</c:v>
                </c:pt>
                <c:pt idx="22">
                  <c:v>319.10191876825002</c:v>
                </c:pt>
                <c:pt idx="23">
                  <c:v>328.76582441862433</c:v>
                </c:pt>
                <c:pt idx="24">
                  <c:v>338.44483660534416</c:v>
                </c:pt>
                <c:pt idx="25">
                  <c:v>348.13888332283733</c:v>
                </c:pt>
                <c:pt idx="26">
                  <c:v>357.8478862243702</c:v>
                </c:pt>
                <c:pt idx="27">
                  <c:v>367.57176079489602</c:v>
                </c:pt>
                <c:pt idx="28">
                  <c:v>377.31041653522425</c:v>
                </c:pt>
                <c:pt idx="29">
                  <c:v>387.06375715660653</c:v>
                </c:pt>
                <c:pt idx="30">
                  <c:v>396.83168078480395</c:v>
                </c:pt>
                <c:pt idx="31">
                  <c:v>406.61408017267235</c:v>
                </c:pt>
                <c:pt idx="32">
                  <c:v>416.41084292028995</c:v>
                </c:pt>
                <c:pt idx="33">
                  <c:v>426.22185170163857</c:v>
                </c:pt>
                <c:pt idx="34">
                  <c:v>436.04698449684827</c:v>
                </c:pt>
                <c:pt idx="35">
                  <c:v>445.8861148290232</c:v>
                </c:pt>
                <c:pt idx="36">
                  <c:v>455.73911200467302</c:v>
                </c:pt>
                <c:pt idx="37">
                  <c:v>465.60584135679659</c:v>
                </c:pt>
                <c:pt idx="38">
                  <c:v>475.48616448968812</c:v>
                </c:pt>
                <c:pt idx="39">
                  <c:v>485.37993952456111</c:v>
                </c:pt>
                <c:pt idx="40">
                  <c:v>495.28702134512429</c:v>
                </c:pt>
                <c:pt idx="41">
                  <c:v>505.20726184227942</c:v>
                </c:pt>
                <c:pt idx="42">
                  <c:v>515.14051015715222</c:v>
                </c:pt>
                <c:pt idx="43">
                  <c:v>525.08661292171359</c:v>
                </c:pt>
                <c:pt idx="44">
                  <c:v>535.04541449629517</c:v>
                </c:pt>
                <c:pt idx="45">
                  <c:v>545.01675720335231</c:v>
                </c:pt>
                <c:pt idx="46">
                  <c:v>555.00048155687853</c:v>
                </c:pt>
                <c:pt idx="47">
                  <c:v>564.99642648692588</c:v>
                </c:pt>
                <c:pt idx="48">
                  <c:v>575.00442955873928</c:v>
                </c:pt>
                <c:pt idx="49">
                  <c:v>585.02432718606281</c:v>
                </c:pt>
                <c:pt idx="50">
                  <c:v>595.05595483822901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1C-0C48-91A3-AF1A10C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158256"/>
        <c:axId val="1"/>
      </c:scatterChart>
      <c:valAx>
        <c:axId val="193015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Concentration (unit)</a:t>
                </a:r>
              </a:p>
            </c:rich>
          </c:tx>
          <c:layout>
            <c:manualLayout>
              <c:xMode val="edge"/>
              <c:yMode val="edge"/>
              <c:x val="0.43859719071133058"/>
              <c:y val="0.92665538303039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Response</a:t>
                </a:r>
              </a:p>
            </c:rich>
          </c:tx>
          <c:layout>
            <c:manualLayout>
              <c:xMode val="edge"/>
              <c:yMode val="edge"/>
              <c:x val="8.7718537301481395E-3"/>
              <c:y val="0.438282986238869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301582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832176698252"/>
          <c:y val="0.42784807564942229"/>
          <c:w val="0.2478813559322034"/>
          <c:h val="0.32658234601515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018448696140156"/>
          <c:y val="3.89104933311907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85608856088561"/>
          <c:y val="0.21789883268482491"/>
          <c:w val="0.85055350553505538"/>
          <c:h val="0.60311284046692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Formulas_and_calculations!$J$3:$J$23</c:f>
              <c:numCache>
                <c:formatCode>General</c:formatCode>
                <c:ptCount val="21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14</c:v>
                </c:pt>
                <c:pt idx="12">
                  <c:v>17</c:v>
                </c:pt>
                <c:pt idx="13">
                  <c:v>20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15</c:v>
                </c:pt>
                <c:pt idx="19">
                  <c:v>18</c:v>
                </c:pt>
                <c:pt idx="20">
                  <c:v>21</c:v>
                </c:pt>
              </c:numCache>
            </c:numRef>
          </c:xVal>
          <c:yVal>
            <c:numRef>
              <c:f>Formulas_and_calculations!$I$3:$I$23</c:f>
              <c:numCache>
                <c:formatCode>General</c:formatCode>
                <c:ptCount val="21"/>
                <c:pt idx="0">
                  <c:v>22.563180284039667</c:v>
                </c:pt>
                <c:pt idx="1">
                  <c:v>22.276302876526536</c:v>
                </c:pt>
                <c:pt idx="2">
                  <c:v>12.660848061500268</c:v>
                </c:pt>
                <c:pt idx="3">
                  <c:v>-6.5323766302101731</c:v>
                </c:pt>
                <c:pt idx="4">
                  <c:v>-91.157826013631066</c:v>
                </c:pt>
                <c:pt idx="5">
                  <c:v>2.3046258361062542</c:v>
                </c:pt>
                <c:pt idx="6">
                  <c:v>13.075378919001764</c:v>
                </c:pt>
                <c:pt idx="7">
                  <c:v>22.294180284039669</c:v>
                </c:pt>
                <c:pt idx="8">
                  <c:v>22.276302876526536</c:v>
                </c:pt>
                <c:pt idx="9">
                  <c:v>12.629748061500266</c:v>
                </c:pt>
                <c:pt idx="10">
                  <c:v>-6.5174766302101759</c:v>
                </c:pt>
                <c:pt idx="11">
                  <c:v>-50.157826013631066</c:v>
                </c:pt>
                <c:pt idx="12">
                  <c:v>1.3046258361062542</c:v>
                </c:pt>
                <c:pt idx="13">
                  <c:v>13.075378919001764</c:v>
                </c:pt>
                <c:pt idx="14">
                  <c:v>22.294180284039669</c:v>
                </c:pt>
                <c:pt idx="15">
                  <c:v>22.276302876526536</c:v>
                </c:pt>
                <c:pt idx="16">
                  <c:v>12.629748061500266</c:v>
                </c:pt>
                <c:pt idx="17">
                  <c:v>-6.5174766302101759</c:v>
                </c:pt>
                <c:pt idx="18">
                  <c:v>-50.157826013631066</c:v>
                </c:pt>
                <c:pt idx="19">
                  <c:v>1.3046258361062542</c:v>
                </c:pt>
                <c:pt idx="20">
                  <c:v>8.0753789190017642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0-D44F-B34C-0E06C63B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297296"/>
        <c:axId val="1"/>
      </c:scatterChart>
      <c:valAx>
        <c:axId val="189529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47970485593532436"/>
              <c:y val="0.85992206331351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9529729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01694319460067"/>
          <c:y val="4.1493923313933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2821623001537786"/>
          <c:w val="0.82070314368568742"/>
          <c:h val="0.580914040039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Formulas_and_calculations!$A$3:$A$23</c:f>
              <c:numCache>
                <c:formatCode>General</c:formatCode>
                <c:ptCount val="21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100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100</c:v>
                </c:pt>
              </c:numCache>
            </c:numRef>
          </c:xVal>
          <c:yVal>
            <c:numRef>
              <c:f>Formulas_and_calculations!$I$3:$I$23</c:f>
              <c:numCache>
                <c:formatCode>General</c:formatCode>
                <c:ptCount val="21"/>
                <c:pt idx="0">
                  <c:v>22.563180284039667</c:v>
                </c:pt>
                <c:pt idx="1">
                  <c:v>22.276302876526536</c:v>
                </c:pt>
                <c:pt idx="2">
                  <c:v>12.660848061500268</c:v>
                </c:pt>
                <c:pt idx="3">
                  <c:v>-6.5323766302101731</c:v>
                </c:pt>
                <c:pt idx="4">
                  <c:v>-91.157826013631066</c:v>
                </c:pt>
                <c:pt idx="5">
                  <c:v>2.3046258361062542</c:v>
                </c:pt>
                <c:pt idx="6">
                  <c:v>13.075378919001764</c:v>
                </c:pt>
                <c:pt idx="7">
                  <c:v>22.294180284039669</c:v>
                </c:pt>
                <c:pt idx="8">
                  <c:v>22.276302876526536</c:v>
                </c:pt>
                <c:pt idx="9">
                  <c:v>12.629748061500266</c:v>
                </c:pt>
                <c:pt idx="10">
                  <c:v>-6.5174766302101759</c:v>
                </c:pt>
                <c:pt idx="11">
                  <c:v>-50.157826013631066</c:v>
                </c:pt>
                <c:pt idx="12">
                  <c:v>1.3046258361062542</c:v>
                </c:pt>
                <c:pt idx="13">
                  <c:v>13.075378919001764</c:v>
                </c:pt>
                <c:pt idx="14">
                  <c:v>22.294180284039669</c:v>
                </c:pt>
                <c:pt idx="15">
                  <c:v>22.276302876526536</c:v>
                </c:pt>
                <c:pt idx="16">
                  <c:v>12.629748061500266</c:v>
                </c:pt>
                <c:pt idx="17">
                  <c:v>-6.5174766302101759</c:v>
                </c:pt>
                <c:pt idx="18">
                  <c:v>-50.157826013631066</c:v>
                </c:pt>
                <c:pt idx="19">
                  <c:v>1.3046258361062542</c:v>
                </c:pt>
                <c:pt idx="20">
                  <c:v>8.0753789190017642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F-D540-8E51-85B0AB57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975792"/>
        <c:axId val="1"/>
      </c:scatterChart>
      <c:valAx>
        <c:axId val="186897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4547173790776151"/>
              <c:y val="0.85062435809654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897579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1979002624672"/>
          <c:y val="3.87597425956273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1705508514673097"/>
          <c:w val="0.79189829344047369"/>
          <c:h val="0.6046534514801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Formulas_and_calculations!$J$3:$J$23</c:f>
              <c:numCache>
                <c:formatCode>General</c:formatCode>
                <c:ptCount val="21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13</c:v>
                </c:pt>
                <c:pt idx="5">
                  <c:v>16</c:v>
                </c:pt>
                <c:pt idx="6">
                  <c:v>19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14</c:v>
                </c:pt>
                <c:pt idx="12">
                  <c:v>17</c:v>
                </c:pt>
                <c:pt idx="13">
                  <c:v>20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12</c:v>
                </c:pt>
                <c:pt idx="18">
                  <c:v>15</c:v>
                </c:pt>
                <c:pt idx="19">
                  <c:v>18</c:v>
                </c:pt>
                <c:pt idx="20">
                  <c:v>21</c:v>
                </c:pt>
              </c:numCache>
            </c:numRef>
          </c:xVal>
          <c:yVal>
            <c:numRef>
              <c:f>Formulas_and_calculations!$K$3:$K$23</c:f>
              <c:numCache>
                <c:formatCode>General</c:formatCode>
                <c:ptCount val="21"/>
                <c:pt idx="0">
                  <c:v>45.126360568079335</c:v>
                </c:pt>
                <c:pt idx="1">
                  <c:v>11.138151438263268</c:v>
                </c:pt>
                <c:pt idx="2">
                  <c:v>2.5321696123000534</c:v>
                </c:pt>
                <c:pt idx="3">
                  <c:v>-0.65323766302101727</c:v>
                </c:pt>
                <c:pt idx="4">
                  <c:v>-4.5578913006815531</c:v>
                </c:pt>
                <c:pt idx="5">
                  <c:v>4.6092516722125082E-2</c:v>
                </c:pt>
                <c:pt idx="6">
                  <c:v>0.13075378919001765</c:v>
                </c:pt>
                <c:pt idx="7">
                  <c:v>44.588360568079338</c:v>
                </c:pt>
                <c:pt idx="8">
                  <c:v>11.138151438263268</c:v>
                </c:pt>
                <c:pt idx="9">
                  <c:v>2.5259496123000531</c:v>
                </c:pt>
                <c:pt idx="10">
                  <c:v>-0.65174766302101761</c:v>
                </c:pt>
                <c:pt idx="11">
                  <c:v>-2.5078913006815533</c:v>
                </c:pt>
                <c:pt idx="12">
                  <c:v>2.6092516722125082E-2</c:v>
                </c:pt>
                <c:pt idx="13">
                  <c:v>0.13075378919001765</c:v>
                </c:pt>
                <c:pt idx="14">
                  <c:v>44.588360568079338</c:v>
                </c:pt>
                <c:pt idx="15">
                  <c:v>11.138151438263268</c:v>
                </c:pt>
                <c:pt idx="16">
                  <c:v>2.5259496123000531</c:v>
                </c:pt>
                <c:pt idx="17">
                  <c:v>-0.65174766302101761</c:v>
                </c:pt>
                <c:pt idx="18">
                  <c:v>-2.5078913006815533</c:v>
                </c:pt>
                <c:pt idx="19">
                  <c:v>2.6092516722125082E-2</c:v>
                </c:pt>
                <c:pt idx="20">
                  <c:v>8.0753789190017647E-2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3F-384C-909B-0A35B132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004448"/>
        <c:axId val="1"/>
      </c:scatterChart>
      <c:valAx>
        <c:axId val="18690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5101298337707787"/>
              <c:y val="0.86046844398257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90044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29728783902009"/>
          <c:y val="4.0486189226346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2672109596623538"/>
          <c:w val="0.76243231042873505"/>
          <c:h val="0.58704569491257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Formulas_and_calculations!$K$2</c:f>
              <c:strCache>
                <c:ptCount val="1"/>
                <c:pt idx="0">
                  <c:v>ResW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Formulas_and_calculations!$A$3:$A$23</c:f>
              <c:numCache>
                <c:formatCode>General</c:formatCode>
                <c:ptCount val="21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50</c:v>
                </c:pt>
                <c:pt idx="6">
                  <c:v>100</c:v>
                </c:pt>
                <c:pt idx="7">
                  <c:v>0.5</c:v>
                </c:pt>
                <c:pt idx="8">
                  <c:v>2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50</c:v>
                </c:pt>
                <c:pt idx="13">
                  <c:v>100</c:v>
                </c:pt>
                <c:pt idx="14">
                  <c:v>0.5</c:v>
                </c:pt>
                <c:pt idx="15">
                  <c:v>2</c:v>
                </c:pt>
                <c:pt idx="16">
                  <c:v>5</c:v>
                </c:pt>
                <c:pt idx="17">
                  <c:v>10</c:v>
                </c:pt>
                <c:pt idx="18">
                  <c:v>20</c:v>
                </c:pt>
                <c:pt idx="19">
                  <c:v>50</c:v>
                </c:pt>
                <c:pt idx="20">
                  <c:v>100</c:v>
                </c:pt>
              </c:numCache>
            </c:numRef>
          </c:xVal>
          <c:yVal>
            <c:numRef>
              <c:f>Formulas_and_calculations!$K$3:$K$23</c:f>
              <c:numCache>
                <c:formatCode>General</c:formatCode>
                <c:ptCount val="21"/>
                <c:pt idx="0">
                  <c:v>45.126360568079335</c:v>
                </c:pt>
                <c:pt idx="1">
                  <c:v>11.138151438263268</c:v>
                </c:pt>
                <c:pt idx="2">
                  <c:v>2.5321696123000534</c:v>
                </c:pt>
                <c:pt idx="3">
                  <c:v>-0.65323766302101727</c:v>
                </c:pt>
                <c:pt idx="4">
                  <c:v>-4.5578913006815531</c:v>
                </c:pt>
                <c:pt idx="5">
                  <c:v>4.6092516722125082E-2</c:v>
                </c:pt>
                <c:pt idx="6">
                  <c:v>0.13075378919001765</c:v>
                </c:pt>
                <c:pt idx="7">
                  <c:v>44.588360568079338</c:v>
                </c:pt>
                <c:pt idx="8">
                  <c:v>11.138151438263268</c:v>
                </c:pt>
                <c:pt idx="9">
                  <c:v>2.5259496123000531</c:v>
                </c:pt>
                <c:pt idx="10">
                  <c:v>-0.65174766302101761</c:v>
                </c:pt>
                <c:pt idx="11">
                  <c:v>-2.5078913006815533</c:v>
                </c:pt>
                <c:pt idx="12">
                  <c:v>2.6092516722125082E-2</c:v>
                </c:pt>
                <c:pt idx="13">
                  <c:v>0.13075378919001765</c:v>
                </c:pt>
                <c:pt idx="14">
                  <c:v>44.588360568079338</c:v>
                </c:pt>
                <c:pt idx="15">
                  <c:v>11.138151438263268</c:v>
                </c:pt>
                <c:pt idx="16">
                  <c:v>2.5259496123000531</c:v>
                </c:pt>
                <c:pt idx="17">
                  <c:v>-0.65174766302101761</c:v>
                </c:pt>
                <c:pt idx="18">
                  <c:v>-2.5078913006815533</c:v>
                </c:pt>
                <c:pt idx="19">
                  <c:v>2.6092516722125082E-2</c:v>
                </c:pt>
                <c:pt idx="20">
                  <c:v>8.0753789190017647E-2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2-0B48-A2BB-FF923A4C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97008"/>
        <c:axId val="1"/>
      </c:scatterChart>
      <c:valAx>
        <c:axId val="191689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7513893263342083"/>
              <c:y val="0.85425280173311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1689700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Control of Calibration curve</a:t>
            </a:r>
          </a:p>
        </c:rich>
      </c:tx>
      <c:layout>
        <c:manualLayout>
          <c:xMode val="edge"/>
          <c:yMode val="edge"/>
          <c:x val="0.36621484814398197"/>
          <c:y val="2.7491462443599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44570110546703E-2"/>
          <c:y val="0.13573905937744876"/>
          <c:w val="0.84833589916956009"/>
          <c:h val="0.78007003743495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 of Calibration'!$A$76</c:f>
              <c:strCache>
                <c:ptCount val="1"/>
                <c:pt idx="0">
                  <c:v>Kontrol af Kalibrering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Calibration'!$C$78:$C$86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9-C84C-8DF6-871CA59F7B97}"/>
            </c:ext>
          </c:extLst>
        </c:ser>
        <c:ser>
          <c:idx val="1"/>
          <c:order val="1"/>
          <c:tx>
            <c:strRef>
              <c:f>'Control of Calibration'!$A$106</c:f>
              <c:strCache>
                <c:ptCount val="1"/>
                <c:pt idx="0">
                  <c:v>Meandata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noFill/>
              <a:ln>
                <a:solidFill>
                  <a:srgbClr val="DD080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'Control of Calibration'!$A$108:$A$110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'Control of Calibration'!$B$108:$B$110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9-C84C-8DF6-871CA59F7B97}"/>
            </c:ext>
          </c:extLst>
        </c:ser>
        <c:ser>
          <c:idx val="2"/>
          <c:order val="2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Calibration'!$J$78:$J$86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9-C84C-8DF6-871CA59F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518528"/>
        <c:axId val="1"/>
      </c:scatterChart>
      <c:valAx>
        <c:axId val="18705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705185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12</xdr:col>
      <xdr:colOff>143932</xdr:colOff>
      <xdr:row>68</xdr:row>
      <xdr:rowOff>16933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8BDF9B-67F2-9140-8F7D-5084CADA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317500</xdr:colOff>
      <xdr:row>17</xdr:row>
      <xdr:rowOff>12700</xdr:rowOff>
    </xdr:to>
    <xdr:graphicFrame macro="">
      <xdr:nvGraphicFramePr>
        <xdr:cNvPr id="4369" name="Chart 1">
          <a:extLst>
            <a:ext uri="{FF2B5EF4-FFF2-40B4-BE49-F238E27FC236}">
              <a16:creationId xmlns:a16="http://schemas.microsoft.com/office/drawing/2014/main" id="{DCD4F379-F818-DB42-AD3D-926CF7700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18</xdr:row>
      <xdr:rowOff>12700</xdr:rowOff>
    </xdr:from>
    <xdr:to>
      <xdr:col>8</xdr:col>
      <xdr:colOff>317500</xdr:colOff>
      <xdr:row>32</xdr:row>
      <xdr:rowOff>38100</xdr:rowOff>
    </xdr:to>
    <xdr:graphicFrame macro="">
      <xdr:nvGraphicFramePr>
        <xdr:cNvPr id="4370" name="Chart 2">
          <a:extLst>
            <a:ext uri="{FF2B5EF4-FFF2-40B4-BE49-F238E27FC236}">
              <a16:creationId xmlns:a16="http://schemas.microsoft.com/office/drawing/2014/main" id="{FAA55F2D-50FC-7E4B-8787-BFF8DBAE7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152400</xdr:rowOff>
    </xdr:from>
    <xdr:to>
      <xdr:col>17</xdr:col>
      <xdr:colOff>330200</xdr:colOff>
      <xdr:row>17</xdr:row>
      <xdr:rowOff>12700</xdr:rowOff>
    </xdr:to>
    <xdr:graphicFrame macro="">
      <xdr:nvGraphicFramePr>
        <xdr:cNvPr id="4371" name="Chart 3">
          <a:extLst>
            <a:ext uri="{FF2B5EF4-FFF2-40B4-BE49-F238E27FC236}">
              <a16:creationId xmlns:a16="http://schemas.microsoft.com/office/drawing/2014/main" id="{8558BE01-C039-DB4C-8BD0-FADF1C419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12700</xdr:rowOff>
    </xdr:from>
    <xdr:to>
      <xdr:col>17</xdr:col>
      <xdr:colOff>330200</xdr:colOff>
      <xdr:row>32</xdr:row>
      <xdr:rowOff>101600</xdr:rowOff>
    </xdr:to>
    <xdr:graphicFrame macro="">
      <xdr:nvGraphicFramePr>
        <xdr:cNvPr id="4372" name="Chart 4">
          <a:extLst>
            <a:ext uri="{FF2B5EF4-FFF2-40B4-BE49-F238E27FC236}">
              <a16:creationId xmlns:a16="http://schemas.microsoft.com/office/drawing/2014/main" id="{DD2D8723-D4AD-4243-BC1D-9DCA0C028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21</xdr:row>
      <xdr:rowOff>25400</xdr:rowOff>
    </xdr:from>
    <xdr:to>
      <xdr:col>10</xdr:col>
      <xdr:colOff>647700</xdr:colOff>
      <xdr:row>55</xdr:row>
      <xdr:rowOff>63500</xdr:rowOff>
    </xdr:to>
    <xdr:graphicFrame macro="">
      <xdr:nvGraphicFramePr>
        <xdr:cNvPr id="6222" name="Chart 4">
          <a:extLst>
            <a:ext uri="{FF2B5EF4-FFF2-40B4-BE49-F238E27FC236}">
              <a16:creationId xmlns:a16="http://schemas.microsoft.com/office/drawing/2014/main" id="{306F7E65-9DA7-F948-8EC5-670F31B14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116"/>
  <sheetViews>
    <sheetView zoomScale="150" zoomScaleNormal="150" workbookViewId="0">
      <selection activeCell="E10" sqref="E10"/>
    </sheetView>
  </sheetViews>
  <sheetFormatPr baseColWidth="10" defaultColWidth="8.83203125" defaultRowHeight="13"/>
  <cols>
    <col min="1" max="1" width="17.83203125" customWidth="1"/>
    <col min="2" max="2" width="11.33203125" customWidth="1"/>
    <col min="3" max="3" width="10.33203125" customWidth="1"/>
    <col min="4" max="4" width="9.6640625" customWidth="1"/>
    <col min="8" max="8" width="12.5" bestFit="1" customWidth="1"/>
    <col min="9" max="9" width="13.1640625" bestFit="1" customWidth="1"/>
    <col min="10" max="10" width="12.5" bestFit="1" customWidth="1"/>
    <col min="11" max="11" width="13.1640625" bestFit="1" customWidth="1"/>
    <col min="12" max="12" width="12.5" bestFit="1" customWidth="1"/>
  </cols>
  <sheetData>
    <row r="1" spans="1:16" ht="21.75" customHeight="1">
      <c r="A1" s="1" t="s">
        <v>0</v>
      </c>
      <c r="B1" s="2" t="s">
        <v>90</v>
      </c>
      <c r="C1" s="2" t="s">
        <v>32</v>
      </c>
      <c r="D1" s="104"/>
      <c r="E1" s="104"/>
      <c r="F1" s="104"/>
      <c r="G1" s="2"/>
      <c r="H1" s="2"/>
      <c r="I1" s="2"/>
      <c r="J1" s="105"/>
      <c r="K1" s="105"/>
      <c r="L1" s="105"/>
      <c r="M1" s="2"/>
      <c r="N1" s="127"/>
      <c r="O1" s="128"/>
      <c r="P1" s="129"/>
    </row>
    <row r="2" spans="1:16" ht="15" customHeight="1">
      <c r="A2" s="18"/>
      <c r="B2" s="16" t="s">
        <v>91</v>
      </c>
      <c r="C2" s="60" t="s">
        <v>92</v>
      </c>
      <c r="D2" s="90" t="s">
        <v>93</v>
      </c>
      <c r="E2" s="91"/>
      <c r="F2" s="91"/>
      <c r="G2" s="6"/>
      <c r="H2" s="16" t="s">
        <v>95</v>
      </c>
      <c r="I2" s="16" t="s">
        <v>42</v>
      </c>
      <c r="J2" s="16" t="s">
        <v>43</v>
      </c>
      <c r="O2" s="88"/>
      <c r="P2" s="59"/>
    </row>
    <row r="3" spans="1:16">
      <c r="A3" s="2" t="s">
        <v>97</v>
      </c>
      <c r="B3" s="3">
        <v>3</v>
      </c>
      <c r="C3">
        <v>0.5</v>
      </c>
      <c r="D3" s="92">
        <v>33.421599999999998</v>
      </c>
      <c r="E3" s="93">
        <v>33.1526</v>
      </c>
      <c r="F3" s="94">
        <v>33.1417</v>
      </c>
      <c r="H3" s="39">
        <f>AVERAGE(D3:F3)</f>
        <v>33.238633333333333</v>
      </c>
      <c r="I3" s="39">
        <f>STDEV(D3:F3)</f>
        <v>0.15854747974450106</v>
      </c>
      <c r="J3" s="40">
        <f>I3/H3*100</f>
        <v>0.4769975893849458</v>
      </c>
      <c r="O3" s="88"/>
      <c r="P3" s="59"/>
    </row>
    <row r="4" spans="1:16">
      <c r="A4" s="2"/>
      <c r="B4" s="121" t="s">
        <v>96</v>
      </c>
      <c r="C4" s="123"/>
      <c r="D4" s="95">
        <v>1</v>
      </c>
      <c r="E4" s="96">
        <v>2</v>
      </c>
      <c r="F4" s="94">
        <v>3</v>
      </c>
      <c r="H4" s="6"/>
      <c r="I4" s="6"/>
      <c r="O4" s="88"/>
      <c r="P4" s="59"/>
    </row>
    <row r="5" spans="1:16">
      <c r="A5" s="2" t="s">
        <v>98</v>
      </c>
      <c r="B5" s="3">
        <v>3</v>
      </c>
      <c r="C5">
        <v>2</v>
      </c>
      <c r="D5" s="97">
        <v>40.311599999999999</v>
      </c>
      <c r="E5" s="97">
        <v>40.311599999999999</v>
      </c>
      <c r="F5" s="97">
        <v>40.311599999999999</v>
      </c>
      <c r="H5" s="39">
        <f>AVERAGE(D5:F5)</f>
        <v>40.311599999999999</v>
      </c>
      <c r="I5" s="39">
        <f>STDEV(D5:F5)</f>
        <v>0</v>
      </c>
      <c r="J5" s="40">
        <f>I5/H5*100</f>
        <v>0</v>
      </c>
      <c r="O5" s="88"/>
      <c r="P5" s="59"/>
    </row>
    <row r="6" spans="1:16">
      <c r="A6" s="2"/>
      <c r="B6" s="121" t="str">
        <f>B4</f>
        <v>Measurement no.</v>
      </c>
      <c r="C6" s="123"/>
      <c r="D6" s="95">
        <v>4</v>
      </c>
      <c r="E6" s="98">
        <v>5</v>
      </c>
      <c r="F6" s="98">
        <v>6</v>
      </c>
      <c r="H6" s="6"/>
      <c r="I6" s="6"/>
      <c r="O6" s="88"/>
      <c r="P6" s="59"/>
    </row>
    <row r="7" spans="1:16">
      <c r="A7" s="2" t="s">
        <v>99</v>
      </c>
      <c r="B7" s="3">
        <v>3</v>
      </c>
      <c r="C7">
        <v>5</v>
      </c>
      <c r="D7" s="99">
        <v>45.049900000000001</v>
      </c>
      <c r="E7" s="99">
        <v>45.018799999999999</v>
      </c>
      <c r="F7" s="100">
        <v>0</v>
      </c>
      <c r="H7" s="39">
        <f>AVERAGE(D7:F7)</f>
        <v>30.022900000000003</v>
      </c>
      <c r="I7" s="39">
        <f>STDEV(D7:F7)</f>
        <v>26.000598745221229</v>
      </c>
      <c r="J7" s="40">
        <f>I7/H7*100</f>
        <v>86.602555866426044</v>
      </c>
      <c r="O7" s="88"/>
      <c r="P7" s="59"/>
    </row>
    <row r="8" spans="1:16">
      <c r="A8" s="2"/>
      <c r="B8" s="121" t="str">
        <f>B6</f>
        <v>Measurement no.</v>
      </c>
      <c r="C8" s="123"/>
      <c r="D8" s="95">
        <v>7</v>
      </c>
      <c r="E8" s="98">
        <v>8</v>
      </c>
      <c r="F8" s="98">
        <v>9</v>
      </c>
      <c r="H8" s="6"/>
      <c r="I8" s="6"/>
      <c r="O8" s="88"/>
      <c r="P8" s="59"/>
    </row>
    <row r="9" spans="1:16">
      <c r="A9" s="2" t="s">
        <v>100</v>
      </c>
      <c r="B9" s="3">
        <v>3</v>
      </c>
      <c r="C9">
        <v>10</v>
      </c>
      <c r="D9" s="101">
        <v>49.779600000000002</v>
      </c>
      <c r="E9" s="97">
        <v>49.794499999999999</v>
      </c>
      <c r="F9" s="97">
        <v>50</v>
      </c>
      <c r="H9" s="39">
        <f>AVERAGE(D9:F9)</f>
        <v>49.858033333333331</v>
      </c>
      <c r="I9" s="39">
        <f>STDEV(D9:F9)</f>
        <v>0.12317225066277394</v>
      </c>
      <c r="J9" s="40">
        <f>I9/H9*100</f>
        <v>0.24704594711806513</v>
      </c>
      <c r="O9" s="88"/>
      <c r="P9" s="59"/>
    </row>
    <row r="10" spans="1:16">
      <c r="A10" s="2"/>
      <c r="B10" s="121" t="str">
        <f>B8</f>
        <v>Measurement no.</v>
      </c>
      <c r="C10" s="123"/>
      <c r="D10" s="95">
        <v>10</v>
      </c>
      <c r="E10" s="98">
        <v>11</v>
      </c>
      <c r="F10" s="98">
        <v>12</v>
      </c>
      <c r="H10" s="6"/>
      <c r="I10" s="6"/>
      <c r="O10" s="88"/>
      <c r="P10" s="59"/>
    </row>
    <row r="11" spans="1:16">
      <c r="A11" s="2" t="s">
        <v>110</v>
      </c>
      <c r="B11" s="3">
        <v>3</v>
      </c>
      <c r="C11">
        <v>20</v>
      </c>
      <c r="D11" s="95">
        <v>13</v>
      </c>
      <c r="E11" s="98">
        <v>54</v>
      </c>
      <c r="F11" s="98">
        <v>53</v>
      </c>
      <c r="H11" s="39">
        <f>AVERAGE(D11:F11)</f>
        <v>40</v>
      </c>
      <c r="I11" s="39">
        <f>STDEV(D11:F11)</f>
        <v>23.388031127053001</v>
      </c>
      <c r="J11" s="40">
        <f>I11/H11*100</f>
        <v>58.470077817632507</v>
      </c>
      <c r="O11" s="88"/>
      <c r="P11" s="59"/>
    </row>
    <row r="12" spans="1:16">
      <c r="A12" s="2"/>
      <c r="B12" s="121" t="str">
        <f>B10</f>
        <v>Measurement no.</v>
      </c>
      <c r="C12" s="123"/>
      <c r="D12" s="95">
        <v>13</v>
      </c>
      <c r="E12" s="98">
        <v>14</v>
      </c>
      <c r="F12" s="98">
        <v>15</v>
      </c>
      <c r="H12" s="6"/>
      <c r="I12" s="6"/>
      <c r="O12" s="88"/>
      <c r="P12" s="59"/>
    </row>
    <row r="13" spans="1:16">
      <c r="A13" s="2" t="s">
        <v>164</v>
      </c>
      <c r="B13" s="3">
        <v>3</v>
      </c>
      <c r="C13">
        <v>50</v>
      </c>
      <c r="D13" s="99">
        <v>250</v>
      </c>
      <c r="E13" s="99">
        <v>249</v>
      </c>
      <c r="F13" s="100">
        <v>251</v>
      </c>
      <c r="H13" s="39">
        <f>AVERAGE(D13:F13)</f>
        <v>250</v>
      </c>
      <c r="I13" s="39">
        <f>STDEV(D13:F13)</f>
        <v>1</v>
      </c>
      <c r="J13" s="40">
        <f>I13/H13*100</f>
        <v>0.4</v>
      </c>
      <c r="O13" s="88"/>
      <c r="P13" s="59"/>
    </row>
    <row r="14" spans="1:16">
      <c r="A14" s="2"/>
      <c r="B14" s="121" t="str">
        <f>B12</f>
        <v>Measurement no.</v>
      </c>
      <c r="C14" s="123"/>
      <c r="D14" s="102">
        <v>16</v>
      </c>
      <c r="E14" s="102">
        <v>17</v>
      </c>
      <c r="F14" s="103">
        <v>18</v>
      </c>
      <c r="H14" s="6"/>
      <c r="I14" s="6"/>
      <c r="O14" s="88"/>
      <c r="P14" s="59"/>
    </row>
    <row r="15" spans="1:16">
      <c r="A15" s="2" t="s">
        <v>165</v>
      </c>
      <c r="B15" s="3">
        <v>3</v>
      </c>
      <c r="C15">
        <v>100</v>
      </c>
      <c r="D15" s="99">
        <v>500</v>
      </c>
      <c r="E15" s="99">
        <v>495</v>
      </c>
      <c r="F15" s="100">
        <v>503</v>
      </c>
      <c r="H15" s="39">
        <f>AVERAGE(D15:F15)</f>
        <v>499.33333333333331</v>
      </c>
      <c r="I15" s="39">
        <f>STDEV(D15:F15)</f>
        <v>4.0414518843273806</v>
      </c>
      <c r="J15" s="40">
        <f>I15/H15*100</f>
        <v>0.80936953624713892</v>
      </c>
      <c r="O15" s="88"/>
      <c r="P15" s="59"/>
    </row>
    <row r="16" spans="1:16">
      <c r="A16" s="2"/>
      <c r="B16" s="121" t="str">
        <f>B14</f>
        <v>Measurement no.</v>
      </c>
      <c r="C16" s="123"/>
      <c r="D16" s="102">
        <v>19</v>
      </c>
      <c r="E16" s="102">
        <v>20</v>
      </c>
      <c r="F16" s="103">
        <v>21</v>
      </c>
      <c r="H16" s="24"/>
      <c r="I16" s="24"/>
      <c r="O16" s="88"/>
    </row>
    <row r="17" spans="1:15" ht="12.75" customHeight="1">
      <c r="A17" s="5" t="s">
        <v>101</v>
      </c>
      <c r="B17" s="6">
        <f>SUM(B3:B15)</f>
        <v>21</v>
      </c>
      <c r="C17" s="24" t="s">
        <v>113</v>
      </c>
      <c r="D17" s="24" t="s">
        <v>40</v>
      </c>
      <c r="E17" s="6"/>
      <c r="F17" s="6"/>
      <c r="G17" s="6"/>
      <c r="H17" s="6"/>
      <c r="I17" s="6"/>
      <c r="O17" s="88"/>
    </row>
    <row r="18" spans="1:15" ht="12.75" customHeight="1">
      <c r="A18" s="5"/>
      <c r="B18" s="6"/>
      <c r="C18" s="2" t="s">
        <v>176</v>
      </c>
      <c r="D18" s="24"/>
      <c r="E18" s="6"/>
      <c r="F18" s="6"/>
      <c r="G18" s="6" t="s">
        <v>177</v>
      </c>
      <c r="H18" s="6"/>
      <c r="I18" s="6"/>
      <c r="J18" t="str">
        <f>Formulas_and_calculations!O39</f>
        <v>2.nd order polynomium not significantly better</v>
      </c>
      <c r="O18" s="88"/>
    </row>
    <row r="19" spans="1:15" ht="13.5" customHeight="1">
      <c r="A19" s="5"/>
      <c r="B19" s="6"/>
      <c r="C19" s="7"/>
      <c r="D19" s="117" t="s">
        <v>166</v>
      </c>
      <c r="E19" s="118"/>
      <c r="F19" s="6"/>
      <c r="G19" s="6"/>
      <c r="H19" s="6"/>
      <c r="I19" s="6"/>
      <c r="O19" s="88"/>
    </row>
    <row r="20" spans="1:15">
      <c r="A20" s="2"/>
      <c r="B20" s="2"/>
      <c r="C20" s="11" t="s">
        <v>102</v>
      </c>
      <c r="D20" s="8">
        <v>0.95</v>
      </c>
      <c r="E20" s="8">
        <v>0.99</v>
      </c>
      <c r="F20" s="2"/>
      <c r="G20" s="43" t="s">
        <v>108</v>
      </c>
      <c r="H20" s="6"/>
      <c r="I20" s="6"/>
      <c r="O20" s="88"/>
    </row>
    <row r="21" spans="1:15">
      <c r="A21" s="11" t="s">
        <v>103</v>
      </c>
      <c r="B21" s="14">
        <f>S_xy/S_xx</f>
        <v>4.7845849383420909</v>
      </c>
      <c r="C21" s="12">
        <f>Formulas_and_calculations!F30</f>
        <v>0.19500904207111303</v>
      </c>
      <c r="D21" s="9">
        <f>$C21*tval_95</f>
        <v>0.47454284455755963</v>
      </c>
      <c r="E21" s="9">
        <f>$C21*tval_99</f>
        <v>0.61890498054740217</v>
      </c>
      <c r="F21" s="2"/>
      <c r="G21" s="41" t="s">
        <v>6</v>
      </c>
      <c r="H21" s="41" t="s">
        <v>49</v>
      </c>
      <c r="I21" s="124" t="s">
        <v>167</v>
      </c>
      <c r="J21" s="125"/>
      <c r="K21" s="126" t="s">
        <v>168</v>
      </c>
      <c r="L21" s="125"/>
    </row>
    <row r="22" spans="1:15">
      <c r="A22" s="44" t="s">
        <v>117</v>
      </c>
      <c r="B22" s="14">
        <f>ymean-slope*xmean</f>
        <v>8.4661272467892843</v>
      </c>
      <c r="C22" s="13">
        <f>Formulas_and_calculations!F31</f>
        <v>8.4132818359953809</v>
      </c>
      <c r="D22" s="10">
        <f>$C22*tval_95</f>
        <v>20.47321832934179</v>
      </c>
      <c r="E22" s="10">
        <f>$C22*tval_99</f>
        <v>26.701438947367954</v>
      </c>
      <c r="F22" s="2"/>
      <c r="G22" s="41">
        <f>Formulas_and_calculations!A45</f>
        <v>0</v>
      </c>
      <c r="H22" s="41">
        <f>Formulas_and_calculations!B45</f>
        <v>8.4661272467892843</v>
      </c>
      <c r="I22" s="41">
        <f>Formulas_and_calculations!C45</f>
        <v>-67.877931424479129</v>
      </c>
      <c r="J22" s="41">
        <f>Formulas_and_calculations!D45</f>
        <v>84.810185918057698</v>
      </c>
      <c r="K22" s="41">
        <f>Formulas_and_calculations!E45</f>
        <v>-91.102791953550593</v>
      </c>
      <c r="L22" s="41">
        <f>Formulas_and_calculations!F45</f>
        <v>108.03504644712916</v>
      </c>
    </row>
    <row r="23" spans="1:15">
      <c r="A23" s="11" t="s">
        <v>3</v>
      </c>
      <c r="B23" s="15">
        <f>S_yyestd/S_yy</f>
        <v>0.96940299493542637</v>
      </c>
      <c r="C23" s="2"/>
      <c r="D23" s="2"/>
      <c r="E23" s="2"/>
      <c r="F23" s="2"/>
      <c r="G23" s="26"/>
      <c r="H23" s="26"/>
      <c r="I23" s="26"/>
      <c r="J23" s="26"/>
      <c r="K23" s="26"/>
      <c r="L23" s="26"/>
    </row>
    <row r="24" spans="1:15">
      <c r="A24" s="11" t="s">
        <v>4</v>
      </c>
      <c r="B24" s="15">
        <f>SQRT(B23)</f>
        <v>0.98458265012919377</v>
      </c>
      <c r="C24" s="2"/>
      <c r="D24" s="2"/>
      <c r="E24" s="2"/>
      <c r="F24" s="2"/>
      <c r="G24" s="43" t="s">
        <v>109</v>
      </c>
    </row>
    <row r="25" spans="1:15">
      <c r="A25" s="119" t="s">
        <v>104</v>
      </c>
      <c r="B25" s="120"/>
      <c r="C25" s="121" t="s">
        <v>107</v>
      </c>
      <c r="D25" s="122"/>
      <c r="E25" s="123"/>
      <c r="F25" s="2"/>
      <c r="G25" s="41" t="s">
        <v>7</v>
      </c>
      <c r="H25" s="41" t="s">
        <v>50</v>
      </c>
      <c r="I25" s="124" t="s">
        <v>167</v>
      </c>
      <c r="J25" s="125"/>
      <c r="K25" s="126" t="s">
        <v>168</v>
      </c>
      <c r="L25" s="125"/>
    </row>
    <row r="26" spans="1:15">
      <c r="A26" s="11" t="s">
        <v>5</v>
      </c>
      <c r="B26" s="14">
        <f>Formulas_and_calculations!F35</f>
        <v>601.97580988405798</v>
      </c>
      <c r="C26" s="121">
        <f>FDIST($B26,1,dfree-2)</f>
        <v>1.0359196920348431E-14</v>
      </c>
      <c r="D26" s="122"/>
      <c r="E26" s="123"/>
      <c r="F26" s="2"/>
      <c r="G26" s="41">
        <f>Formulas_and_calculations!A48</f>
        <v>0</v>
      </c>
      <c r="H26" s="41">
        <f>Formulas_and_calculations!B48</f>
        <v>-1.76945907657413</v>
      </c>
      <c r="I26" s="41">
        <f>Formulas_and_calculations!C48</f>
        <v>-9.4281223129969352</v>
      </c>
      <c r="J26" s="41">
        <f>Formulas_and_calculations!D48</f>
        <v>5.8892041598486742</v>
      </c>
      <c r="K26" s="41">
        <f>Formulas_and_calculations!E48</f>
        <v>-11.757987774708198</v>
      </c>
      <c r="L26" s="41">
        <f>Formulas_and_calculations!F48</f>
        <v>5.8892041598486742</v>
      </c>
    </row>
    <row r="27" spans="1:15">
      <c r="A27" s="58" t="s">
        <v>105</v>
      </c>
      <c r="B27" s="46" t="s">
        <v>103</v>
      </c>
      <c r="C27" s="47"/>
      <c r="D27" s="121" t="s">
        <v>106</v>
      </c>
      <c r="E27" s="123"/>
      <c r="F27" s="2" t="s">
        <v>55</v>
      </c>
      <c r="G27" s="2"/>
      <c r="H27" s="2"/>
      <c r="I27" s="2"/>
    </row>
    <row r="28" spans="1:15">
      <c r="A28" s="9" t="s">
        <v>51</v>
      </c>
      <c r="B28" s="56">
        <f>10*sqrtsquare/slope</f>
        <v>63.169012045269326</v>
      </c>
      <c r="C28" s="61" t="str">
        <f>koncentrationsenhed</f>
        <v>Unit</v>
      </c>
      <c r="D28" s="56">
        <f>H28*C3*I3/H3</f>
        <v>2.3849879469247291E-2</v>
      </c>
      <c r="E28" s="61" t="str">
        <f>koncentrationsenhed</f>
        <v>Unit</v>
      </c>
      <c r="F28" s="115" t="s">
        <v>112</v>
      </c>
      <c r="G28" s="116"/>
      <c r="H28" s="6">
        <v>10</v>
      </c>
      <c r="I28" s="43" t="s">
        <v>111</v>
      </c>
    </row>
    <row r="29" spans="1:15">
      <c r="A29" s="10" t="s">
        <v>52</v>
      </c>
      <c r="B29" s="57">
        <f>3*sqrtsquare/slope</f>
        <v>18.950703613580799</v>
      </c>
      <c r="C29" s="62" t="str">
        <f>koncentrationsenhed</f>
        <v>Unit</v>
      </c>
      <c r="D29" s="57">
        <f>H29*C3*I3/H3</f>
        <v>7.8704602248516053E-3</v>
      </c>
      <c r="E29" s="62" t="str">
        <f>koncentrationsenhed</f>
        <v>Unit</v>
      </c>
      <c r="F29" s="115" t="s">
        <v>112</v>
      </c>
      <c r="G29" s="116"/>
      <c r="H29" s="6">
        <v>3.3</v>
      </c>
      <c r="I29" s="43" t="s">
        <v>111</v>
      </c>
    </row>
    <row r="30" spans="1:15">
      <c r="A30" s="2"/>
      <c r="B30" s="2"/>
      <c r="C30" s="2"/>
      <c r="D30" s="2"/>
      <c r="E30" s="2"/>
      <c r="F30" s="2"/>
      <c r="G30" s="2"/>
      <c r="H30" s="2"/>
      <c r="I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1:9">
      <c r="A113" s="2"/>
      <c r="B113" s="2"/>
      <c r="C113" s="2"/>
      <c r="D113" s="2"/>
      <c r="E113" s="2"/>
      <c r="F113" s="2"/>
      <c r="G113" s="2"/>
      <c r="H113" s="2"/>
      <c r="I113" s="2"/>
    </row>
    <row r="114" spans="1:9">
      <c r="A114" s="2"/>
      <c r="B114" s="2"/>
      <c r="C114" s="2"/>
      <c r="D114" s="2"/>
      <c r="E114" s="2"/>
      <c r="F114" s="2"/>
      <c r="G114" s="2"/>
      <c r="H114" s="2"/>
      <c r="I114" s="2"/>
    </row>
    <row r="115" spans="1:9">
      <c r="A115" s="2"/>
      <c r="B115" s="2"/>
      <c r="C115" s="2"/>
      <c r="D115" s="2"/>
      <c r="E115" s="2"/>
      <c r="F115" s="2"/>
      <c r="G115" s="2"/>
      <c r="H115" s="2"/>
      <c r="I115" s="2"/>
    </row>
    <row r="116" spans="1:9">
      <c r="G116" s="2"/>
      <c r="H116" s="2"/>
      <c r="I116" s="2"/>
    </row>
  </sheetData>
  <mergeCells count="19">
    <mergeCell ref="K25:L25"/>
    <mergeCell ref="D27:E27"/>
    <mergeCell ref="N1:P1"/>
    <mergeCell ref="I21:J21"/>
    <mergeCell ref="K21:L21"/>
    <mergeCell ref="B4:C4"/>
    <mergeCell ref="B6:C6"/>
    <mergeCell ref="B8:C8"/>
    <mergeCell ref="B10:C10"/>
    <mergeCell ref="I25:J25"/>
    <mergeCell ref="B12:C12"/>
    <mergeCell ref="B14:C14"/>
    <mergeCell ref="B16:C16"/>
    <mergeCell ref="F28:G28"/>
    <mergeCell ref="D19:E19"/>
    <mergeCell ref="F29:G29"/>
    <mergeCell ref="A25:B25"/>
    <mergeCell ref="C25:E25"/>
    <mergeCell ref="C26:E2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1" fitToHeight="2" orientation="portrait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"/>
  <sheetViews>
    <sheetView tabSelected="1" topLeftCell="A7" workbookViewId="0">
      <selection activeCell="J2" sqref="J2"/>
    </sheetView>
  </sheetViews>
  <sheetFormatPr baseColWidth="10" defaultColWidth="8.83203125" defaultRowHeight="13"/>
  <sheetData>
    <row r="1" spans="1:10">
      <c r="A1" t="s">
        <v>56</v>
      </c>
      <c r="J1" t="s">
        <v>59</v>
      </c>
    </row>
  </sheetData>
  <phoneticPr fontId="0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335"/>
  <sheetViews>
    <sheetView workbookViewId="0">
      <selection activeCell="F4" sqref="F4"/>
    </sheetView>
  </sheetViews>
  <sheetFormatPr baseColWidth="10" defaultColWidth="8.83203125" defaultRowHeight="13"/>
  <cols>
    <col min="2" max="2" width="9.6640625" customWidth="1"/>
    <col min="3" max="3" width="12.5" customWidth="1"/>
    <col min="4" max="4" width="8.33203125" customWidth="1"/>
    <col min="6" max="9" width="12.5" bestFit="1" customWidth="1"/>
  </cols>
  <sheetData>
    <row r="1" spans="1:9">
      <c r="A1" t="s">
        <v>65</v>
      </c>
      <c r="B1" s="44" t="s">
        <v>45</v>
      </c>
      <c r="C1" s="39" t="s">
        <v>54</v>
      </c>
      <c r="D1" s="39" t="s">
        <v>63</v>
      </c>
      <c r="E1" s="41" t="s">
        <v>50</v>
      </c>
      <c r="F1" s="130" t="s">
        <v>47</v>
      </c>
      <c r="G1" s="130"/>
      <c r="H1" s="130" t="s">
        <v>48</v>
      </c>
      <c r="I1" s="130"/>
    </row>
    <row r="2" spans="1:9">
      <c r="A2">
        <v>1</v>
      </c>
      <c r="B2" s="44">
        <f t="shared" ref="B2:B7" si="0">3.27*10^5</f>
        <v>327000</v>
      </c>
      <c r="C2" s="39">
        <f>SUM(B2:B7)/COUNT(B2:B7)</f>
        <v>327000</v>
      </c>
      <c r="D2" s="39">
        <f>COUNT(B2:B7)</f>
        <v>6</v>
      </c>
      <c r="E2" s="55">
        <f>($B2-intercept)/slope</f>
        <v>68342.71688905565</v>
      </c>
      <c r="F2" s="42">
        <f>$E2+(($E2-xmean)*gval_95-ABS((tval_95*svalue/slope))*SQRT(($E2-xmean)^2/S_xx+(Ndata+$D2)*(1-gval_95)/Ndata/$D2))/(1-gval_95)</f>
        <v>61567.029007364021</v>
      </c>
      <c r="G2" s="42">
        <f>$E2+(($E2-xmean)*gval_95+ABS((tval_95*svalue/slope))*SQRT(($E2-xmean)^2/S_xx+(Ndata+$D2)*(1-gval_95)/Ndata/$D2))/(1-gval_95)</f>
        <v>75118.404770747278</v>
      </c>
      <c r="H2" s="42">
        <f>$E2+(($E2-xmean)*gval_99-ABS((tval_99*svalue/slope))*SQRT(($E2-xmean)^2/S_xx+(Ndata+$D2)*(1-gval_99)/Ndata/$D2))/(1-gval_99)</f>
        <v>59505.776189794989</v>
      </c>
      <c r="I2" s="42">
        <f>$E2+(($E2-xmean)*gval_99+ABS((tval_99*svalue/slope))*SQRT(($E2-xmean)^2/S_xx+(Ndata+$D2)*(1-gval_99)/Ndata/$D2))/(1-gval_99)</f>
        <v>77179.657588316302</v>
      </c>
    </row>
    <row r="3" spans="1:9">
      <c r="B3" s="44">
        <f t="shared" si="0"/>
        <v>327000</v>
      </c>
      <c r="F3">
        <f>F2-$E2</f>
        <v>-6775.6878816916287</v>
      </c>
      <c r="G3">
        <f>G2-$E2</f>
        <v>6775.6878816916287</v>
      </c>
      <c r="H3">
        <f>H2-$E2</f>
        <v>-8836.94069926066</v>
      </c>
      <c r="I3">
        <f>I2-$E2</f>
        <v>8836.9406992606528</v>
      </c>
    </row>
    <row r="4" spans="1:9">
      <c r="B4" s="44">
        <f t="shared" si="0"/>
        <v>327000</v>
      </c>
    </row>
    <row r="5" spans="1:9">
      <c r="B5" s="44">
        <f t="shared" si="0"/>
        <v>327000</v>
      </c>
    </row>
    <row r="6" spans="1:9">
      <c r="B6" s="44">
        <f t="shared" si="0"/>
        <v>327000</v>
      </c>
    </row>
    <row r="7" spans="1:9">
      <c r="B7" s="44">
        <f t="shared" si="0"/>
        <v>327000</v>
      </c>
    </row>
    <row r="9" spans="1:9">
      <c r="A9" t="s">
        <v>65</v>
      </c>
      <c r="B9" s="44" t="s">
        <v>45</v>
      </c>
      <c r="C9" s="39" t="s">
        <v>54</v>
      </c>
      <c r="D9" s="39" t="s">
        <v>63</v>
      </c>
      <c r="E9" s="41" t="s">
        <v>50</v>
      </c>
      <c r="F9" s="130" t="s">
        <v>47</v>
      </c>
      <c r="G9" s="130"/>
      <c r="H9" s="130" t="s">
        <v>48</v>
      </c>
      <c r="I9" s="130"/>
    </row>
    <row r="10" spans="1:9">
      <c r="B10" s="44"/>
      <c r="C10" s="39" t="e">
        <f>SUM(B10:B15)/COUNT(B10:B15)</f>
        <v>#DIV/0!</v>
      </c>
      <c r="D10" s="39">
        <f>COUNT(B10:B15)</f>
        <v>0</v>
      </c>
      <c r="E10" s="55">
        <f>($B10-intercept)/slope</f>
        <v>-1.76945907657413</v>
      </c>
      <c r="F10" s="42" t="e">
        <f>$E10+(($E10-xmean)*gval_95-ABS((tval_95*svalue/slope))*SQRT(($E10-xmean)^2/S_xx+(Ndata+$D10)*(1-gval_95)/Ndata/$D10))/(1-gval_95)</f>
        <v>#DIV/0!</v>
      </c>
      <c r="G10" s="42" t="e">
        <f>$E10+(($E10-xmean)*gval_95+ABS((tval_95*svalue/slope))*SQRT(($E10-xmean)^2/S_xx+(Ndata+$D10)*(1-gval_95)/Ndata/$D10))/(1-gval_95)</f>
        <v>#DIV/0!</v>
      </c>
      <c r="H10" s="42" t="e">
        <f>$E10+(($E10-xmean)*gval_99-ABS((tval_99*svalue/slope))*SQRT(($E10-xmean)^2/S_xx+(Ndata+$D10)*(1-gval_99)/Ndata/$D10))/(1-gval_99)</f>
        <v>#DIV/0!</v>
      </c>
      <c r="I10" s="42" t="e">
        <f>$E10+(($E10-xmean)*gval_99+ABS((tval_99*svalue/slope))*SQRT(($E10-xmean)^2/S_xx+(Ndata+$D10)*(1-gval_99)/Ndata/$D10))/(1-gval_99)</f>
        <v>#DIV/0!</v>
      </c>
    </row>
    <row r="11" spans="1:9">
      <c r="B11" s="44"/>
      <c r="F11" t="e">
        <f>F10-$E10</f>
        <v>#DIV/0!</v>
      </c>
      <c r="G11" t="e">
        <f>G10-$E10</f>
        <v>#DIV/0!</v>
      </c>
      <c r="H11" t="e">
        <f>H10-$E10</f>
        <v>#DIV/0!</v>
      </c>
      <c r="I11" t="e">
        <f>I10-$E10</f>
        <v>#DIV/0!</v>
      </c>
    </row>
    <row r="12" spans="1:9">
      <c r="B12" s="44"/>
    </row>
    <row r="13" spans="1:9">
      <c r="B13" s="44"/>
    </row>
    <row r="14" spans="1:9">
      <c r="B14" s="44"/>
    </row>
    <row r="15" spans="1:9">
      <c r="B15" s="44"/>
    </row>
    <row r="17" spans="1:9">
      <c r="A17" t="s">
        <v>65</v>
      </c>
      <c r="B17" s="44" t="s">
        <v>45</v>
      </c>
      <c r="C17" s="39" t="s">
        <v>54</v>
      </c>
      <c r="D17" s="39" t="s">
        <v>63</v>
      </c>
      <c r="E17" s="41" t="s">
        <v>50</v>
      </c>
      <c r="F17" s="130" t="s">
        <v>47</v>
      </c>
      <c r="G17" s="130"/>
      <c r="H17" s="130" t="s">
        <v>48</v>
      </c>
      <c r="I17" s="130"/>
    </row>
    <row r="18" spans="1:9">
      <c r="B18" s="44"/>
      <c r="C18" s="39" t="e">
        <f>SUM(B18:B23)/COUNT(B18:B23)</f>
        <v>#DIV/0!</v>
      </c>
      <c r="D18" s="39">
        <f>COUNT(B18:B23)</f>
        <v>0</v>
      </c>
      <c r="E18" s="55">
        <f>($B18-intercept)/slope</f>
        <v>-1.76945907657413</v>
      </c>
      <c r="F18" s="42" t="e">
        <f>$E18+(($E18-xmean)*gval_95-ABS((tval_95*svalue/slope))*SQRT(($E18-xmean)^2/S_xx+(Ndata+$D18)*(1-gval_95)/Ndata/$D18))/(1-gval_95)</f>
        <v>#DIV/0!</v>
      </c>
      <c r="G18" s="42" t="e">
        <f>$E18+(($E18-xmean)*gval_95+ABS((tval_95*svalue/slope))*SQRT(($E18-xmean)^2/S_xx+(Ndata+$D18)*(1-gval_95)/Ndata/$D18))/(1-gval_95)</f>
        <v>#DIV/0!</v>
      </c>
      <c r="H18" s="42" t="e">
        <f>$E18+(($E18-xmean)*gval_99-ABS((tval_99*svalue/slope))*SQRT(($E18-xmean)^2/S_xx+(Ndata+$D18)*(1-gval_99)/Ndata/$D18))/(1-gval_99)</f>
        <v>#DIV/0!</v>
      </c>
      <c r="I18" s="42" t="e">
        <f>$E18+(($E18-xmean)*gval_99+ABS((tval_99*svalue/slope))*SQRT(($E18-xmean)^2/S_xx+(Ndata+$D18)*(1-gval_99)/Ndata/$D18))/(1-gval_99)</f>
        <v>#DIV/0!</v>
      </c>
    </row>
    <row r="19" spans="1:9">
      <c r="B19" s="44"/>
      <c r="F19" t="e">
        <f>F18-$E18</f>
        <v>#DIV/0!</v>
      </c>
      <c r="G19" t="e">
        <f>G18-$E18</f>
        <v>#DIV/0!</v>
      </c>
      <c r="H19" t="e">
        <f>H18-$E18</f>
        <v>#DIV/0!</v>
      </c>
      <c r="I19" t="e">
        <f>I18-$E18</f>
        <v>#DIV/0!</v>
      </c>
    </row>
    <row r="20" spans="1:9">
      <c r="B20" s="44"/>
    </row>
    <row r="21" spans="1:9">
      <c r="B21" s="44"/>
    </row>
    <row r="22" spans="1:9">
      <c r="B22" s="44"/>
    </row>
    <row r="23" spans="1:9">
      <c r="B23" s="44"/>
    </row>
    <row r="25" spans="1:9">
      <c r="A25" t="s">
        <v>65</v>
      </c>
      <c r="B25" s="44" t="s">
        <v>45</v>
      </c>
      <c r="C25" s="39" t="s">
        <v>54</v>
      </c>
      <c r="D25" s="39" t="s">
        <v>63</v>
      </c>
      <c r="E25" s="41" t="s">
        <v>50</v>
      </c>
      <c r="F25" s="130" t="s">
        <v>47</v>
      </c>
      <c r="G25" s="130"/>
      <c r="H25" s="130" t="s">
        <v>48</v>
      </c>
      <c r="I25" s="130"/>
    </row>
    <row r="26" spans="1:9">
      <c r="B26" s="44"/>
      <c r="C26" s="39" t="e">
        <f>SUM(B26:B31)/COUNT(B26:B31)</f>
        <v>#DIV/0!</v>
      </c>
      <c r="D26" s="39">
        <f>COUNT(B26:B31)</f>
        <v>0</v>
      </c>
      <c r="E26" s="55">
        <f>($B26-intercept)/slope</f>
        <v>-1.76945907657413</v>
      </c>
      <c r="F26" s="42" t="e">
        <f>$E26+(($E26-xmean)*gval_95-ABS((tval_95*svalue/slope))*SQRT(($E26-xmean)^2/S_xx+(Ndata+$D26)*(1-gval_95)/Ndata/$D26))/(1-gval_95)</f>
        <v>#DIV/0!</v>
      </c>
      <c r="G26" s="42" t="e">
        <f>$E26+(($E26-xmean)*gval_95+ABS((tval_95*svalue/slope))*SQRT(($E26-xmean)^2/S_xx+(Ndata+$D26)*(1-gval_95)/Ndata/$D26))/(1-gval_95)</f>
        <v>#DIV/0!</v>
      </c>
      <c r="H26" s="42" t="e">
        <f>$E26+(($E26-xmean)*gval_99-ABS((tval_99*svalue/slope))*SQRT(($E26-xmean)^2/S_xx+(Ndata+$D26)*(1-gval_99)/Ndata/$D26))/(1-gval_99)</f>
        <v>#DIV/0!</v>
      </c>
      <c r="I26" s="42" t="e">
        <f>$E26+(($E26-xmean)*gval_99+ABS((tval_99*svalue/slope))*SQRT(($E26-xmean)^2/S_xx+(Ndata+$D26)*(1-gval_99)/Ndata/$D26))/(1-gval_99)</f>
        <v>#DIV/0!</v>
      </c>
    </row>
    <row r="27" spans="1:9">
      <c r="B27" s="44"/>
      <c r="F27" t="e">
        <f>F26-$E26</f>
        <v>#DIV/0!</v>
      </c>
      <c r="G27" t="e">
        <f>G26-$E26</f>
        <v>#DIV/0!</v>
      </c>
      <c r="H27" t="e">
        <f>H26-$E26</f>
        <v>#DIV/0!</v>
      </c>
      <c r="I27" t="e">
        <f>I26-$E26</f>
        <v>#DIV/0!</v>
      </c>
    </row>
    <row r="28" spans="1:9">
      <c r="B28" s="44"/>
    </row>
    <row r="29" spans="1:9">
      <c r="B29" s="44"/>
    </row>
    <row r="30" spans="1:9">
      <c r="B30" s="44"/>
    </row>
    <row r="31" spans="1:9">
      <c r="B31" s="44"/>
    </row>
    <row r="33" spans="1:9">
      <c r="A33" t="s">
        <v>65</v>
      </c>
      <c r="B33" s="44" t="s">
        <v>45</v>
      </c>
      <c r="C33" s="39" t="s">
        <v>54</v>
      </c>
      <c r="D33" s="39" t="s">
        <v>63</v>
      </c>
      <c r="E33" s="41" t="s">
        <v>50</v>
      </c>
      <c r="F33" s="130" t="s">
        <v>47</v>
      </c>
      <c r="G33" s="130"/>
      <c r="H33" s="130" t="s">
        <v>48</v>
      </c>
      <c r="I33" s="130"/>
    </row>
    <row r="34" spans="1:9">
      <c r="B34" s="44"/>
      <c r="C34" s="39" t="e">
        <f>SUM(B34:B39)/COUNT(B34:B39)</f>
        <v>#DIV/0!</v>
      </c>
      <c r="D34" s="39">
        <f>COUNT(B34:B39)</f>
        <v>0</v>
      </c>
      <c r="E34" s="55">
        <f>($B34-intercept)/slope</f>
        <v>-1.76945907657413</v>
      </c>
      <c r="F34" s="42" t="e">
        <f>$E34+(($E34-xmean)*gval_95-ABS((tval_95*svalue/slope))*SQRT(($E34-xmean)^2/S_xx+(Ndata+$D34)*(1-gval_95)/Ndata/$D34))/(1-gval_95)</f>
        <v>#DIV/0!</v>
      </c>
      <c r="G34" s="42" t="e">
        <f>$E34+(($E34-xmean)*gval_95+ABS((tval_95*svalue/slope))*SQRT(($E34-xmean)^2/S_xx+(Ndata+$D34)*(1-gval_95)/Ndata/$D34))/(1-gval_95)</f>
        <v>#DIV/0!</v>
      </c>
      <c r="H34" s="42" t="e">
        <f>$E34+(($E34-xmean)*gval_99-ABS((tval_99*svalue/slope))*SQRT(($E34-xmean)^2/S_xx+(Ndata+$D34)*(1-gval_99)/Ndata/$D34))/(1-gval_99)</f>
        <v>#DIV/0!</v>
      </c>
      <c r="I34" s="42" t="e">
        <f>$E34+(($E34-xmean)*gval_99+ABS((tval_99*svalue/slope))*SQRT(($E34-xmean)^2/S_xx+(Ndata+$D34)*(1-gval_99)/Ndata/$D34))/(1-gval_99)</f>
        <v>#DIV/0!</v>
      </c>
    </row>
    <row r="35" spans="1:9">
      <c r="B35" s="44"/>
      <c r="F35" t="e">
        <f>F34-$E34</f>
        <v>#DIV/0!</v>
      </c>
      <c r="G35" t="e">
        <f>G34-$E34</f>
        <v>#DIV/0!</v>
      </c>
      <c r="H35" t="e">
        <f>H34-$E34</f>
        <v>#DIV/0!</v>
      </c>
      <c r="I35" t="e">
        <f>I34-$E34</f>
        <v>#DIV/0!</v>
      </c>
    </row>
    <row r="36" spans="1:9">
      <c r="B36" s="44"/>
    </row>
    <row r="37" spans="1:9">
      <c r="B37" s="44"/>
    </row>
    <row r="38" spans="1:9">
      <c r="B38" s="44"/>
    </row>
    <row r="39" spans="1:9">
      <c r="B39" s="44"/>
    </row>
    <row r="41" spans="1:9">
      <c r="A41" t="s">
        <v>65</v>
      </c>
      <c r="B41" s="44" t="s">
        <v>45</v>
      </c>
      <c r="C41" s="39" t="s">
        <v>54</v>
      </c>
      <c r="D41" s="39" t="s">
        <v>63</v>
      </c>
      <c r="E41" s="41" t="s">
        <v>50</v>
      </c>
      <c r="F41" s="130" t="s">
        <v>47</v>
      </c>
      <c r="G41" s="130"/>
      <c r="H41" s="130" t="s">
        <v>48</v>
      </c>
      <c r="I41" s="130"/>
    </row>
    <row r="42" spans="1:9">
      <c r="B42" s="44"/>
      <c r="C42" s="39" t="e">
        <f>SUM(B42:B47)/COUNT(B42:B47)</f>
        <v>#DIV/0!</v>
      </c>
      <c r="D42" s="39">
        <f>COUNT(B42:B47)</f>
        <v>0</v>
      </c>
      <c r="E42" s="55">
        <f>($B42-intercept)/slope</f>
        <v>-1.76945907657413</v>
      </c>
      <c r="F42" s="42" t="e">
        <f>$E42+(($E42-xmean)*gval_95-ABS((tval_95*svalue/slope))*SQRT(($E42-xmean)^2/S_xx+(Ndata+$D42)*(1-gval_95)/Ndata/$D42))/(1-gval_95)</f>
        <v>#DIV/0!</v>
      </c>
      <c r="G42" s="42" t="e">
        <f>$E42+(($E42-xmean)*gval_95+ABS((tval_95*svalue/slope))*SQRT(($E42-xmean)^2/S_xx+(Ndata+$D42)*(1-gval_95)/Ndata/$D42))/(1-gval_95)</f>
        <v>#DIV/0!</v>
      </c>
      <c r="H42" s="42" t="e">
        <f>$E42+(($E42-xmean)*gval_99-ABS((tval_99*svalue/slope))*SQRT(($E42-xmean)^2/S_xx+(Ndata+$D42)*(1-gval_99)/Ndata/$D42))/(1-gval_99)</f>
        <v>#DIV/0!</v>
      </c>
      <c r="I42" s="42" t="e">
        <f>$E42+(($E42-xmean)*gval_99+ABS((tval_99*svalue/slope))*SQRT(($E42-xmean)^2/S_xx+(Ndata+$D42)*(1-gval_99)/Ndata/$D42))/(1-gval_99)</f>
        <v>#DIV/0!</v>
      </c>
    </row>
    <row r="43" spans="1:9">
      <c r="B43" s="44"/>
      <c r="F43" t="e">
        <f>F42-$E42</f>
        <v>#DIV/0!</v>
      </c>
      <c r="G43" t="e">
        <f>G42-$E42</f>
        <v>#DIV/0!</v>
      </c>
      <c r="H43" t="e">
        <f>H42-$E42</f>
        <v>#DIV/0!</v>
      </c>
      <c r="I43" t="e">
        <f>I42-$E42</f>
        <v>#DIV/0!</v>
      </c>
    </row>
    <row r="44" spans="1:9">
      <c r="B44" s="44"/>
    </row>
    <row r="45" spans="1:9">
      <c r="B45" s="44"/>
    </row>
    <row r="46" spans="1:9">
      <c r="B46" s="44"/>
    </row>
    <row r="47" spans="1:9">
      <c r="B47" s="44"/>
    </row>
    <row r="49" spans="1:9">
      <c r="A49" t="s">
        <v>65</v>
      </c>
      <c r="B49" s="44" t="s">
        <v>45</v>
      </c>
      <c r="C49" s="39" t="s">
        <v>54</v>
      </c>
      <c r="D49" s="39" t="s">
        <v>63</v>
      </c>
      <c r="E49" s="41" t="s">
        <v>50</v>
      </c>
      <c r="F49" s="130" t="s">
        <v>47</v>
      </c>
      <c r="G49" s="130"/>
      <c r="H49" s="130" t="s">
        <v>48</v>
      </c>
      <c r="I49" s="130"/>
    </row>
    <row r="50" spans="1:9">
      <c r="B50" s="44"/>
      <c r="C50" s="39" t="e">
        <f>SUM(B50:B55)/COUNT(B50:B55)</f>
        <v>#DIV/0!</v>
      </c>
      <c r="D50" s="39">
        <f>COUNT(B50:B55)</f>
        <v>0</v>
      </c>
      <c r="E50" s="55">
        <f>($B50-intercept)/slope</f>
        <v>-1.76945907657413</v>
      </c>
      <c r="F50" s="42" t="e">
        <f>$E50+(($E50-xmean)*gval_95-ABS((tval_95*svalue/slope))*SQRT(($E50-xmean)^2/S_xx+(Ndata+$D50)*(1-gval_95)/Ndata/$D50))/(1-gval_95)</f>
        <v>#DIV/0!</v>
      </c>
      <c r="G50" s="42" t="e">
        <f>$E50+(($E50-xmean)*gval_95+ABS((tval_95*svalue/slope))*SQRT(($E50-xmean)^2/S_xx+(Ndata+$D50)*(1-gval_95)/Ndata/$D50))/(1-gval_95)</f>
        <v>#DIV/0!</v>
      </c>
      <c r="H50" s="42" t="e">
        <f>$E50+(($E50-xmean)*gval_99-ABS((tval_99*svalue/slope))*SQRT(($E50-xmean)^2/S_xx+(Ndata+$D50)*(1-gval_99)/Ndata/$D50))/(1-gval_99)</f>
        <v>#DIV/0!</v>
      </c>
      <c r="I50" s="42" t="e">
        <f>$E50+(($E50-xmean)*gval_99+ABS((tval_99*svalue/slope))*SQRT(($E50-xmean)^2/S_xx+(Ndata+$D50)*(1-gval_99)/Ndata/$D50))/(1-gval_99)</f>
        <v>#DIV/0!</v>
      </c>
    </row>
    <row r="51" spans="1:9">
      <c r="B51" s="44"/>
      <c r="F51" t="e">
        <f>F50-$E50</f>
        <v>#DIV/0!</v>
      </c>
      <c r="G51" t="e">
        <f>G50-$E50</f>
        <v>#DIV/0!</v>
      </c>
      <c r="H51" t="e">
        <f>H50-$E50</f>
        <v>#DIV/0!</v>
      </c>
      <c r="I51" t="e">
        <f>I50-$E50</f>
        <v>#DIV/0!</v>
      </c>
    </row>
    <row r="52" spans="1:9">
      <c r="B52" s="44"/>
    </row>
    <row r="53" spans="1:9">
      <c r="B53" s="44"/>
    </row>
    <row r="54" spans="1:9">
      <c r="B54" s="44"/>
    </row>
    <row r="55" spans="1:9">
      <c r="B55" s="44"/>
    </row>
    <row r="57" spans="1:9">
      <c r="A57" t="s">
        <v>65</v>
      </c>
      <c r="B57" s="44" t="s">
        <v>45</v>
      </c>
      <c r="C57" s="39" t="s">
        <v>54</v>
      </c>
      <c r="D57" s="39" t="s">
        <v>63</v>
      </c>
      <c r="E57" s="41" t="s">
        <v>50</v>
      </c>
      <c r="F57" s="130" t="s">
        <v>47</v>
      </c>
      <c r="G57" s="130"/>
      <c r="H57" s="130" t="s">
        <v>48</v>
      </c>
      <c r="I57" s="130"/>
    </row>
    <row r="58" spans="1:9">
      <c r="B58" s="44"/>
      <c r="C58" s="39" t="e">
        <f>SUM(B58:B63)/COUNT(B58:B63)</f>
        <v>#DIV/0!</v>
      </c>
      <c r="D58" s="39">
        <f>COUNT(B58:B63)</f>
        <v>0</v>
      </c>
      <c r="E58" s="55">
        <f>($B58-intercept)/slope</f>
        <v>-1.76945907657413</v>
      </c>
      <c r="F58" s="42" t="e">
        <f>$E58+(($E58-xmean)*gval_95-ABS((tval_95*svalue/slope))*SQRT(($E58-xmean)^2/S_xx+(Ndata+$D58)*(1-gval_95)/Ndata/$D58))/(1-gval_95)</f>
        <v>#DIV/0!</v>
      </c>
      <c r="G58" s="42" t="e">
        <f>$E58+(($E58-xmean)*gval_95+ABS((tval_95*svalue/slope))*SQRT(($E58-xmean)^2/S_xx+(Ndata+$D58)*(1-gval_95)/Ndata/$D58))/(1-gval_95)</f>
        <v>#DIV/0!</v>
      </c>
      <c r="H58" s="42" t="e">
        <f>$E58+(($E58-xmean)*gval_99-ABS((tval_99*svalue/slope))*SQRT(($E58-xmean)^2/S_xx+(Ndata+$D58)*(1-gval_99)/Ndata/$D58))/(1-gval_99)</f>
        <v>#DIV/0!</v>
      </c>
      <c r="I58" s="42" t="e">
        <f>$E58+(($E58-xmean)*gval_99+ABS((tval_99*svalue/slope))*SQRT(($E58-xmean)^2/S_xx+(Ndata+$D58)*(1-gval_99)/Ndata/$D58))/(1-gval_99)</f>
        <v>#DIV/0!</v>
      </c>
    </row>
    <row r="59" spans="1:9">
      <c r="B59" s="44"/>
      <c r="F59" t="e">
        <f>F58-$E58</f>
        <v>#DIV/0!</v>
      </c>
      <c r="G59" t="e">
        <f>G58-$E58</f>
        <v>#DIV/0!</v>
      </c>
      <c r="H59" t="e">
        <f>H58-$E58</f>
        <v>#DIV/0!</v>
      </c>
      <c r="I59" t="e">
        <f>I58-$E58</f>
        <v>#DIV/0!</v>
      </c>
    </row>
    <row r="60" spans="1:9">
      <c r="B60" s="44"/>
    </row>
    <row r="61" spans="1:9">
      <c r="B61" s="44"/>
    </row>
    <row r="62" spans="1:9">
      <c r="B62" s="44"/>
    </row>
    <row r="63" spans="1:9">
      <c r="B63" s="44"/>
    </row>
    <row r="65" spans="1:9">
      <c r="A65" t="s">
        <v>65</v>
      </c>
      <c r="B65" s="44" t="s">
        <v>45</v>
      </c>
      <c r="C65" s="39" t="s">
        <v>54</v>
      </c>
      <c r="D65" s="39" t="s">
        <v>63</v>
      </c>
      <c r="E65" s="41" t="s">
        <v>50</v>
      </c>
      <c r="F65" s="130" t="s">
        <v>47</v>
      </c>
      <c r="G65" s="130"/>
      <c r="H65" s="130" t="s">
        <v>48</v>
      </c>
      <c r="I65" s="130"/>
    </row>
    <row r="66" spans="1:9">
      <c r="B66" s="44"/>
      <c r="C66" s="39" t="e">
        <f>SUM(B66:B71)/COUNT(B66:B71)</f>
        <v>#DIV/0!</v>
      </c>
      <c r="D66" s="39">
        <f>COUNT(B66:B71)</f>
        <v>0</v>
      </c>
      <c r="E66" s="55">
        <f>($B66-intercept)/slope</f>
        <v>-1.76945907657413</v>
      </c>
      <c r="F66" s="42" t="e">
        <f>$E66+(($E66-xmean)*gval_95-ABS((tval_95*svalue/slope))*SQRT(($E66-xmean)^2/S_xx+(Ndata+$D66)*(1-gval_95)/Ndata/$D66))/(1-gval_95)</f>
        <v>#DIV/0!</v>
      </c>
      <c r="G66" s="42" t="e">
        <f>$E66+(($E66-xmean)*gval_95+ABS((tval_95*svalue/slope))*SQRT(($E66-xmean)^2/S_xx+(Ndata+$D66)*(1-gval_95)/Ndata/$D66))/(1-gval_95)</f>
        <v>#DIV/0!</v>
      </c>
      <c r="H66" s="42" t="e">
        <f>$E66+(($E66-xmean)*gval_99-ABS((tval_99*svalue/slope))*SQRT(($E66-xmean)^2/S_xx+(Ndata+$D66)*(1-gval_99)/Ndata/$D66))/(1-gval_99)</f>
        <v>#DIV/0!</v>
      </c>
      <c r="I66" s="42" t="e">
        <f>$E66+(($E66-xmean)*gval_99+ABS((tval_99*svalue/slope))*SQRT(($E66-xmean)^2/S_xx+(Ndata+$D66)*(1-gval_99)/Ndata/$D66))/(1-gval_99)</f>
        <v>#DIV/0!</v>
      </c>
    </row>
    <row r="67" spans="1:9">
      <c r="B67" s="44"/>
      <c r="F67" t="e">
        <f>F66-$E66</f>
        <v>#DIV/0!</v>
      </c>
      <c r="G67" t="e">
        <f>G66-$E66</f>
        <v>#DIV/0!</v>
      </c>
      <c r="H67" t="e">
        <f>H66-$E66</f>
        <v>#DIV/0!</v>
      </c>
      <c r="I67" t="e">
        <f>I66-$E66</f>
        <v>#DIV/0!</v>
      </c>
    </row>
    <row r="68" spans="1:9">
      <c r="B68" s="44"/>
    </row>
    <row r="69" spans="1:9">
      <c r="B69" s="44"/>
    </row>
    <row r="70" spans="1:9">
      <c r="B70" s="44"/>
    </row>
    <row r="71" spans="1:9">
      <c r="B71" s="44"/>
    </row>
    <row r="73" spans="1:9">
      <c r="A73" t="s">
        <v>65</v>
      </c>
      <c r="B73" s="44" t="s">
        <v>45</v>
      </c>
      <c r="C73" s="39" t="s">
        <v>54</v>
      </c>
      <c r="D73" s="39" t="s">
        <v>63</v>
      </c>
      <c r="E73" s="41" t="s">
        <v>50</v>
      </c>
      <c r="F73" s="130" t="s">
        <v>47</v>
      </c>
      <c r="G73" s="130"/>
      <c r="H73" s="130" t="s">
        <v>48</v>
      </c>
      <c r="I73" s="130"/>
    </row>
    <row r="74" spans="1:9">
      <c r="B74" s="44"/>
      <c r="C74" s="39" t="e">
        <f>SUM(B74:B79)/COUNT(B74:B79)</f>
        <v>#DIV/0!</v>
      </c>
      <c r="D74" s="39">
        <f>COUNT(B74:B79)</f>
        <v>0</v>
      </c>
      <c r="E74" s="55">
        <f>($B74-intercept)/slope</f>
        <v>-1.76945907657413</v>
      </c>
      <c r="F74" s="42" t="e">
        <f>$E74+(($E74-xmean)*gval_95-ABS((tval_95*svalue/slope))*SQRT(($E74-xmean)^2/S_xx+(Ndata+$D74)*(1-gval_95)/Ndata/$D74))/(1-gval_95)</f>
        <v>#DIV/0!</v>
      </c>
      <c r="G74" s="42" t="e">
        <f>$E74+(($E74-xmean)*gval_95+ABS((tval_95*svalue/slope))*SQRT(($E74-xmean)^2/S_xx+(Ndata+$D74)*(1-gval_95)/Ndata/$D74))/(1-gval_95)</f>
        <v>#DIV/0!</v>
      </c>
      <c r="H74" s="42" t="e">
        <f>$E74+(($E74-xmean)*gval_99-ABS((tval_99*svalue/slope))*SQRT(($E74-xmean)^2/S_xx+(Ndata+$D74)*(1-gval_99)/Ndata/$D74))/(1-gval_99)</f>
        <v>#DIV/0!</v>
      </c>
      <c r="I74" s="42" t="e">
        <f>$E74+(($E74-xmean)*gval_99+ABS((tval_99*svalue/slope))*SQRT(($E74-xmean)^2/S_xx+(Ndata+$D74)*(1-gval_99)/Ndata/$D74))/(1-gval_99)</f>
        <v>#DIV/0!</v>
      </c>
    </row>
    <row r="75" spans="1:9">
      <c r="B75" s="44"/>
      <c r="F75" t="e">
        <f>F74-$E74</f>
        <v>#DIV/0!</v>
      </c>
      <c r="G75" t="e">
        <f>G74-$E74</f>
        <v>#DIV/0!</v>
      </c>
      <c r="H75" t="e">
        <f>H74-$E74</f>
        <v>#DIV/0!</v>
      </c>
      <c r="I75" t="e">
        <f>I74-$E74</f>
        <v>#DIV/0!</v>
      </c>
    </row>
    <row r="76" spans="1:9">
      <c r="B76" s="44"/>
    </row>
    <row r="77" spans="1:9">
      <c r="B77" s="44"/>
    </row>
    <row r="78" spans="1:9">
      <c r="B78" s="44"/>
    </row>
    <row r="79" spans="1:9">
      <c r="B79" s="44"/>
    </row>
    <row r="81" spans="1:9">
      <c r="A81" t="s">
        <v>65</v>
      </c>
      <c r="B81" s="44" t="s">
        <v>45</v>
      </c>
      <c r="C81" s="39" t="s">
        <v>54</v>
      </c>
      <c r="D81" s="39" t="s">
        <v>63</v>
      </c>
      <c r="E81" s="41" t="s">
        <v>50</v>
      </c>
      <c r="F81" s="130" t="s">
        <v>47</v>
      </c>
      <c r="G81" s="130"/>
      <c r="H81" s="130" t="s">
        <v>48</v>
      </c>
      <c r="I81" s="130"/>
    </row>
    <row r="82" spans="1:9">
      <c r="B82" s="44"/>
      <c r="C82" s="39" t="e">
        <f>SUM(B82:B87)/COUNT(B82:B87)</f>
        <v>#DIV/0!</v>
      </c>
      <c r="D82" s="39">
        <f>COUNT(B82:B87)</f>
        <v>0</v>
      </c>
      <c r="E82" s="55">
        <f>($B82-intercept)/slope</f>
        <v>-1.76945907657413</v>
      </c>
      <c r="F82" s="42" t="e">
        <f>$E82+(($E82-xmean)*gval_95-ABS((tval_95*svalue/slope))*SQRT(($E82-xmean)^2/S_xx+(Ndata+$D82)*(1-gval_95)/Ndata/$D82))/(1-gval_95)</f>
        <v>#DIV/0!</v>
      </c>
      <c r="G82" s="42" t="e">
        <f>$E82+(($E82-xmean)*gval_95+ABS((tval_95*svalue/slope))*SQRT(($E82-xmean)^2/S_xx+(Ndata+$D82)*(1-gval_95)/Ndata/$D82))/(1-gval_95)</f>
        <v>#DIV/0!</v>
      </c>
      <c r="H82" s="42" t="e">
        <f>$E82+(($E82-xmean)*gval_99-ABS((tval_99*svalue/slope))*SQRT(($E82-xmean)^2/S_xx+(Ndata+$D82)*(1-gval_99)/Ndata/$D82))/(1-gval_99)</f>
        <v>#DIV/0!</v>
      </c>
      <c r="I82" s="42" t="e">
        <f>$E82+(($E82-xmean)*gval_99+ABS((tval_99*svalue/slope))*SQRT(($E82-xmean)^2/S_xx+(Ndata+$D82)*(1-gval_99)/Ndata/$D82))/(1-gval_99)</f>
        <v>#DIV/0!</v>
      </c>
    </row>
    <row r="83" spans="1:9">
      <c r="B83" s="44"/>
      <c r="F83" t="e">
        <f>F82-$E82</f>
        <v>#DIV/0!</v>
      </c>
      <c r="G83" t="e">
        <f>G82-$E82</f>
        <v>#DIV/0!</v>
      </c>
      <c r="H83" t="e">
        <f>H82-$E82</f>
        <v>#DIV/0!</v>
      </c>
      <c r="I83" t="e">
        <f>I82-$E82</f>
        <v>#DIV/0!</v>
      </c>
    </row>
    <row r="84" spans="1:9">
      <c r="B84" s="44"/>
    </row>
    <row r="85" spans="1:9">
      <c r="B85" s="44"/>
    </row>
    <row r="86" spans="1:9">
      <c r="B86" s="44"/>
    </row>
    <row r="87" spans="1:9">
      <c r="B87" s="44"/>
    </row>
    <row r="89" spans="1:9">
      <c r="A89" t="s">
        <v>65</v>
      </c>
      <c r="B89" s="44" t="s">
        <v>45</v>
      </c>
      <c r="C89" s="39" t="s">
        <v>54</v>
      </c>
      <c r="D89" s="39" t="s">
        <v>63</v>
      </c>
      <c r="E89" s="41" t="s">
        <v>50</v>
      </c>
      <c r="F89" s="130" t="s">
        <v>47</v>
      </c>
      <c r="G89" s="130"/>
      <c r="H89" s="130" t="s">
        <v>48</v>
      </c>
      <c r="I89" s="130"/>
    </row>
    <row r="90" spans="1:9">
      <c r="B90" s="44"/>
      <c r="C90" s="39" t="e">
        <f>SUM(B90:B95)/COUNT(B90:B95)</f>
        <v>#DIV/0!</v>
      </c>
      <c r="D90" s="39">
        <f>COUNT(B90:B95)</f>
        <v>0</v>
      </c>
      <c r="E90" s="55">
        <f>($B90-intercept)/slope</f>
        <v>-1.76945907657413</v>
      </c>
      <c r="F90" s="42" t="e">
        <f>$E90+(($E90-xmean)*gval_95-ABS((tval_95*svalue/slope))*SQRT(($E90-xmean)^2/S_xx+(Ndata+$D90)*(1-gval_95)/Ndata/$D90))/(1-gval_95)</f>
        <v>#DIV/0!</v>
      </c>
      <c r="G90" s="42" t="e">
        <f>$E90+(($E90-xmean)*gval_95+ABS((tval_95*svalue/slope))*SQRT(($E90-xmean)^2/S_xx+(Ndata+$D90)*(1-gval_95)/Ndata/$D90))/(1-gval_95)</f>
        <v>#DIV/0!</v>
      </c>
      <c r="H90" s="42" t="e">
        <f>$E90+(($E90-xmean)*gval_99-ABS((tval_99*svalue/slope))*SQRT(($E90-xmean)^2/S_xx+(Ndata+$D90)*(1-gval_99)/Ndata/$D90))/(1-gval_99)</f>
        <v>#DIV/0!</v>
      </c>
      <c r="I90" s="42" t="e">
        <f>$E90+(($E90-xmean)*gval_99+ABS((tval_99*svalue/slope))*SQRT(($E90-xmean)^2/S_xx+(Ndata+$D90)*(1-gval_99)/Ndata/$D90))/(1-gval_99)</f>
        <v>#DIV/0!</v>
      </c>
    </row>
    <row r="91" spans="1:9">
      <c r="B91" s="44"/>
      <c r="F91" t="e">
        <f>F90-$E90</f>
        <v>#DIV/0!</v>
      </c>
      <c r="G91" t="e">
        <f>G90-$E90</f>
        <v>#DIV/0!</v>
      </c>
      <c r="H91" t="e">
        <f>H90-$E90</f>
        <v>#DIV/0!</v>
      </c>
      <c r="I91" t="e">
        <f>I90-$E90</f>
        <v>#DIV/0!</v>
      </c>
    </row>
    <row r="92" spans="1:9">
      <c r="B92" s="44"/>
    </row>
    <row r="93" spans="1:9">
      <c r="B93" s="44"/>
    </row>
    <row r="94" spans="1:9">
      <c r="B94" s="44"/>
    </row>
    <row r="95" spans="1:9">
      <c r="B95" s="44"/>
    </row>
    <row r="97" spans="1:9">
      <c r="A97" t="s">
        <v>65</v>
      </c>
      <c r="B97" s="44" t="s">
        <v>45</v>
      </c>
      <c r="C97" s="39" t="s">
        <v>54</v>
      </c>
      <c r="D97" s="39" t="s">
        <v>63</v>
      </c>
      <c r="E97" s="41" t="s">
        <v>50</v>
      </c>
      <c r="F97" s="130" t="s">
        <v>47</v>
      </c>
      <c r="G97" s="130"/>
      <c r="H97" s="130" t="s">
        <v>48</v>
      </c>
      <c r="I97" s="130"/>
    </row>
    <row r="98" spans="1:9">
      <c r="B98" s="44"/>
      <c r="C98" s="39" t="e">
        <f>SUM(B98:B103)/COUNT(B98:B103)</f>
        <v>#DIV/0!</v>
      </c>
      <c r="D98" s="39">
        <f>COUNT(B98:B103)</f>
        <v>0</v>
      </c>
      <c r="E98" s="55">
        <f>($B98-intercept)/slope</f>
        <v>-1.76945907657413</v>
      </c>
      <c r="F98" s="42" t="e">
        <f>$E98+(($E98-xmean)*gval_95-ABS((tval_95*svalue/slope))*SQRT(($E98-xmean)^2/S_xx+(Ndata+$D98)*(1-gval_95)/Ndata/$D98))/(1-gval_95)</f>
        <v>#DIV/0!</v>
      </c>
      <c r="G98" s="42" t="e">
        <f>$E98+(($E98-xmean)*gval_95+ABS((tval_95*svalue/slope))*SQRT(($E98-xmean)^2/S_xx+(Ndata+$D98)*(1-gval_95)/Ndata/$D98))/(1-gval_95)</f>
        <v>#DIV/0!</v>
      </c>
      <c r="H98" s="42" t="e">
        <f>$E98+(($E98-xmean)*gval_99-ABS((tval_99*svalue/slope))*SQRT(($E98-xmean)^2/S_xx+(Ndata+$D98)*(1-gval_99)/Ndata/$D98))/(1-gval_99)</f>
        <v>#DIV/0!</v>
      </c>
      <c r="I98" s="42" t="e">
        <f>$E98+(($E98-xmean)*gval_99+ABS((tval_99*svalue/slope))*SQRT(($E98-xmean)^2/S_xx+(Ndata+$D98)*(1-gval_99)/Ndata/$D98))/(1-gval_99)</f>
        <v>#DIV/0!</v>
      </c>
    </row>
    <row r="99" spans="1:9">
      <c r="B99" s="44"/>
      <c r="F99" t="e">
        <f>F98-$E98</f>
        <v>#DIV/0!</v>
      </c>
      <c r="G99" t="e">
        <f>G98-$E98</f>
        <v>#DIV/0!</v>
      </c>
      <c r="H99" t="e">
        <f>H98-$E98</f>
        <v>#DIV/0!</v>
      </c>
      <c r="I99" t="e">
        <f>I98-$E98</f>
        <v>#DIV/0!</v>
      </c>
    </row>
    <row r="100" spans="1:9">
      <c r="B100" s="44"/>
    </row>
    <row r="101" spans="1:9">
      <c r="B101" s="44"/>
    </row>
    <row r="102" spans="1:9">
      <c r="B102" s="44"/>
    </row>
    <row r="103" spans="1:9">
      <c r="B103" s="44"/>
    </row>
    <row r="105" spans="1:9">
      <c r="A105" t="s">
        <v>65</v>
      </c>
      <c r="B105" s="44" t="s">
        <v>45</v>
      </c>
      <c r="C105" s="39" t="s">
        <v>54</v>
      </c>
      <c r="D105" s="39" t="s">
        <v>63</v>
      </c>
      <c r="E105" s="41" t="s">
        <v>50</v>
      </c>
      <c r="F105" s="130" t="s">
        <v>47</v>
      </c>
      <c r="G105" s="130"/>
      <c r="H105" s="130" t="s">
        <v>48</v>
      </c>
      <c r="I105" s="130"/>
    </row>
    <row r="106" spans="1:9">
      <c r="B106" s="44"/>
      <c r="C106" s="39" t="e">
        <f>SUM(B106:B111)/COUNT(B106:B111)</f>
        <v>#DIV/0!</v>
      </c>
      <c r="D106" s="39">
        <f>COUNT(B106:B111)</f>
        <v>0</v>
      </c>
      <c r="E106" s="55">
        <f>($B106-intercept)/slope</f>
        <v>-1.76945907657413</v>
      </c>
      <c r="F106" s="42" t="e">
        <f>$E106+(($E106-xmean)*gval_95-ABS((tval_95*svalue/slope))*SQRT(($E106-xmean)^2/S_xx+(Ndata+$D106)*(1-gval_95)/Ndata/$D106))/(1-gval_95)</f>
        <v>#DIV/0!</v>
      </c>
      <c r="G106" s="42" t="e">
        <f>$E106+(($E106-xmean)*gval_95+ABS((tval_95*svalue/slope))*SQRT(($E106-xmean)^2/S_xx+(Ndata+$D106)*(1-gval_95)/Ndata/$D106))/(1-gval_95)</f>
        <v>#DIV/0!</v>
      </c>
      <c r="H106" s="42" t="e">
        <f>$E106+(($E106-xmean)*gval_99-ABS((tval_99*svalue/slope))*SQRT(($E106-xmean)^2/S_xx+(Ndata+$D106)*(1-gval_99)/Ndata/$D106))/(1-gval_99)</f>
        <v>#DIV/0!</v>
      </c>
      <c r="I106" s="42" t="e">
        <f>$E106+(($E106-xmean)*gval_99+ABS((tval_99*svalue/slope))*SQRT(($E106-xmean)^2/S_xx+(Ndata+$D106)*(1-gval_99)/Ndata/$D106))/(1-gval_99)</f>
        <v>#DIV/0!</v>
      </c>
    </row>
    <row r="107" spans="1:9">
      <c r="B107" s="44"/>
      <c r="F107" t="e">
        <f>F106-$E106</f>
        <v>#DIV/0!</v>
      </c>
      <c r="G107" t="e">
        <f>G106-$E106</f>
        <v>#DIV/0!</v>
      </c>
      <c r="H107" t="e">
        <f>H106-$E106</f>
        <v>#DIV/0!</v>
      </c>
      <c r="I107" t="e">
        <f>I106-$E106</f>
        <v>#DIV/0!</v>
      </c>
    </row>
    <row r="108" spans="1:9">
      <c r="B108" s="44"/>
    </row>
    <row r="109" spans="1:9">
      <c r="B109" s="44"/>
    </row>
    <row r="110" spans="1:9">
      <c r="B110" s="44"/>
    </row>
    <row r="111" spans="1:9">
      <c r="B111" s="44"/>
    </row>
    <row r="113" spans="1:9">
      <c r="A113" t="s">
        <v>65</v>
      </c>
      <c r="B113" s="44" t="s">
        <v>45</v>
      </c>
      <c r="C113" s="39" t="s">
        <v>54</v>
      </c>
      <c r="D113" s="39" t="s">
        <v>63</v>
      </c>
      <c r="E113" s="41" t="s">
        <v>50</v>
      </c>
      <c r="F113" s="130" t="s">
        <v>47</v>
      </c>
      <c r="G113" s="130"/>
      <c r="H113" s="130" t="s">
        <v>48</v>
      </c>
      <c r="I113" s="130"/>
    </row>
    <row r="114" spans="1:9">
      <c r="B114" s="44"/>
      <c r="C114" s="39" t="e">
        <f>SUM(B114:B119)/COUNT(B114:B119)</f>
        <v>#DIV/0!</v>
      </c>
      <c r="D114" s="39">
        <f>COUNT(B114:B119)</f>
        <v>0</v>
      </c>
      <c r="E114" s="55">
        <f>($B114-intercept)/slope</f>
        <v>-1.76945907657413</v>
      </c>
      <c r="F114" s="42" t="e">
        <f>$E114+(($E114-xmean)*gval_95-ABS((tval_95*svalue/slope))*SQRT(($E114-xmean)^2/S_xx+(Ndata+$D114)*(1-gval_95)/Ndata/$D114))/(1-gval_95)</f>
        <v>#DIV/0!</v>
      </c>
      <c r="G114" s="42" t="e">
        <f>$E114+(($E114-xmean)*gval_95+ABS((tval_95*svalue/slope))*SQRT(($E114-xmean)^2/S_xx+(Ndata+$D114)*(1-gval_95)/Ndata/$D114))/(1-gval_95)</f>
        <v>#DIV/0!</v>
      </c>
      <c r="H114" s="42" t="e">
        <f>$E114+(($E114-xmean)*gval_99-ABS((tval_99*svalue/slope))*SQRT(($E114-xmean)^2/S_xx+(Ndata+$D114)*(1-gval_99)/Ndata/$D114))/(1-gval_99)</f>
        <v>#DIV/0!</v>
      </c>
      <c r="I114" s="42" t="e">
        <f>$E114+(($E114-xmean)*gval_99+ABS((tval_99*svalue/slope))*SQRT(($E114-xmean)^2/S_xx+(Ndata+$D114)*(1-gval_99)/Ndata/$D114))/(1-gval_99)</f>
        <v>#DIV/0!</v>
      </c>
    </row>
    <row r="115" spans="1:9">
      <c r="B115" s="44"/>
      <c r="F115" t="e">
        <f>F114-$E114</f>
        <v>#DIV/0!</v>
      </c>
      <c r="G115" t="e">
        <f>G114-$E114</f>
        <v>#DIV/0!</v>
      </c>
      <c r="H115" t="e">
        <f>H114-$E114</f>
        <v>#DIV/0!</v>
      </c>
      <c r="I115" t="e">
        <f>I114-$E114</f>
        <v>#DIV/0!</v>
      </c>
    </row>
    <row r="116" spans="1:9">
      <c r="B116" s="44"/>
    </row>
    <row r="117" spans="1:9">
      <c r="B117" s="44"/>
    </row>
    <row r="118" spans="1:9">
      <c r="B118" s="44"/>
    </row>
    <row r="119" spans="1:9">
      <c r="B119" s="44"/>
    </row>
    <row r="121" spans="1:9">
      <c r="A121" t="s">
        <v>65</v>
      </c>
      <c r="B121" s="44" t="s">
        <v>45</v>
      </c>
      <c r="C121" s="39" t="s">
        <v>54</v>
      </c>
      <c r="D121" s="39" t="s">
        <v>63</v>
      </c>
      <c r="E121" s="41" t="s">
        <v>50</v>
      </c>
      <c r="F121" s="130" t="s">
        <v>47</v>
      </c>
      <c r="G121" s="130"/>
      <c r="H121" s="130" t="s">
        <v>48</v>
      </c>
      <c r="I121" s="130"/>
    </row>
    <row r="122" spans="1:9">
      <c r="B122" s="44"/>
      <c r="C122" s="39" t="e">
        <f>SUM(B122:B127)/COUNT(B122:B127)</f>
        <v>#DIV/0!</v>
      </c>
      <c r="D122" s="39">
        <f>COUNT(B122:B127)</f>
        <v>0</v>
      </c>
      <c r="E122" s="55">
        <f>($B122-intercept)/slope</f>
        <v>-1.76945907657413</v>
      </c>
      <c r="F122" s="42" t="e">
        <f>$E122+(($E122-xmean)*gval_95-ABS((tval_95*svalue/slope))*SQRT(($E122-xmean)^2/S_xx+(Ndata+$D122)*(1-gval_95)/Ndata/$D122))/(1-gval_95)</f>
        <v>#DIV/0!</v>
      </c>
      <c r="G122" s="42" t="e">
        <f>$E122+(($E122-xmean)*gval_95+ABS((tval_95*svalue/slope))*SQRT(($E122-xmean)^2/S_xx+(Ndata+$D122)*(1-gval_95)/Ndata/$D122))/(1-gval_95)</f>
        <v>#DIV/0!</v>
      </c>
      <c r="H122" s="42" t="e">
        <f>$E122+(($E122-xmean)*gval_99-ABS((tval_99*svalue/slope))*SQRT(($E122-xmean)^2/S_xx+(Ndata+$D122)*(1-gval_99)/Ndata/$D122))/(1-gval_99)</f>
        <v>#DIV/0!</v>
      </c>
      <c r="I122" s="42" t="e">
        <f>$E122+(($E122-xmean)*gval_99+ABS((tval_99*svalue/slope))*SQRT(($E122-xmean)^2/S_xx+(Ndata+$D122)*(1-gval_99)/Ndata/$D122))/(1-gval_99)</f>
        <v>#DIV/0!</v>
      </c>
    </row>
    <row r="123" spans="1:9">
      <c r="B123" s="44"/>
      <c r="F123" t="e">
        <f>F122-$E122</f>
        <v>#DIV/0!</v>
      </c>
      <c r="G123" t="e">
        <f>G122-$E122</f>
        <v>#DIV/0!</v>
      </c>
      <c r="H123" t="e">
        <f>H122-$E122</f>
        <v>#DIV/0!</v>
      </c>
      <c r="I123" t="e">
        <f>I122-$E122</f>
        <v>#DIV/0!</v>
      </c>
    </row>
    <row r="124" spans="1:9">
      <c r="B124" s="44"/>
    </row>
    <row r="125" spans="1:9">
      <c r="B125" s="44"/>
    </row>
    <row r="126" spans="1:9">
      <c r="B126" s="44"/>
    </row>
    <row r="127" spans="1:9">
      <c r="B127" s="44"/>
    </row>
    <row r="129" spans="1:9">
      <c r="A129" t="s">
        <v>65</v>
      </c>
      <c r="B129" s="44" t="s">
        <v>45</v>
      </c>
      <c r="C129" s="39" t="s">
        <v>54</v>
      </c>
      <c r="D129" s="39" t="s">
        <v>63</v>
      </c>
      <c r="E129" s="41" t="s">
        <v>50</v>
      </c>
      <c r="F129" s="130" t="s">
        <v>47</v>
      </c>
      <c r="G129" s="130"/>
      <c r="H129" s="130" t="s">
        <v>48</v>
      </c>
      <c r="I129" s="130"/>
    </row>
    <row r="130" spans="1:9">
      <c r="B130" s="44"/>
      <c r="C130" s="39" t="e">
        <f>SUM(B130:B135)/COUNT(B130:B135)</f>
        <v>#DIV/0!</v>
      </c>
      <c r="D130" s="39">
        <f>COUNT(B130:B135)</f>
        <v>0</v>
      </c>
      <c r="E130" s="55">
        <f>($B130-intercept)/slope</f>
        <v>-1.76945907657413</v>
      </c>
      <c r="F130" s="42" t="e">
        <f>$E130+(($E130-xmean)*gval_95-ABS((tval_95*svalue/slope))*SQRT(($E130-xmean)^2/S_xx+(Ndata+$D130)*(1-gval_95)/Ndata/$D130))/(1-gval_95)</f>
        <v>#DIV/0!</v>
      </c>
      <c r="G130" s="42" t="e">
        <f>$E130+(($E130-xmean)*gval_95+ABS((tval_95*svalue/slope))*SQRT(($E130-xmean)^2/S_xx+(Ndata+$D130)*(1-gval_95)/Ndata/$D130))/(1-gval_95)</f>
        <v>#DIV/0!</v>
      </c>
      <c r="H130" s="42" t="e">
        <f>$E130+(($E130-xmean)*gval_99-ABS((tval_99*svalue/slope))*SQRT(($E130-xmean)^2/S_xx+(Ndata+$D130)*(1-gval_99)/Ndata/$D130))/(1-gval_99)</f>
        <v>#DIV/0!</v>
      </c>
      <c r="I130" s="42" t="e">
        <f>$E130+(($E130-xmean)*gval_99+ABS((tval_99*svalue/slope))*SQRT(($E130-xmean)^2/S_xx+(Ndata+$D130)*(1-gval_99)/Ndata/$D130))/(1-gval_99)</f>
        <v>#DIV/0!</v>
      </c>
    </row>
    <row r="131" spans="1:9">
      <c r="B131" s="44"/>
      <c r="F131" t="e">
        <f>F130-$E130</f>
        <v>#DIV/0!</v>
      </c>
      <c r="G131" t="e">
        <f>G130-$E130</f>
        <v>#DIV/0!</v>
      </c>
      <c r="H131" t="e">
        <f>H130-$E130</f>
        <v>#DIV/0!</v>
      </c>
      <c r="I131" t="e">
        <f>I130-$E130</f>
        <v>#DIV/0!</v>
      </c>
    </row>
    <row r="132" spans="1:9">
      <c r="B132" s="44"/>
    </row>
    <row r="133" spans="1:9">
      <c r="B133" s="44"/>
    </row>
    <row r="134" spans="1:9">
      <c r="B134" s="44"/>
    </row>
    <row r="135" spans="1:9">
      <c r="B135" s="44"/>
    </row>
    <row r="137" spans="1:9">
      <c r="A137" t="s">
        <v>65</v>
      </c>
      <c r="B137" s="44" t="s">
        <v>45</v>
      </c>
      <c r="C137" s="39" t="s">
        <v>54</v>
      </c>
      <c r="D137" s="39" t="s">
        <v>63</v>
      </c>
      <c r="E137" s="41" t="s">
        <v>50</v>
      </c>
      <c r="F137" s="130" t="s">
        <v>47</v>
      </c>
      <c r="G137" s="130"/>
      <c r="H137" s="130" t="s">
        <v>48</v>
      </c>
      <c r="I137" s="130"/>
    </row>
    <row r="138" spans="1:9">
      <c r="B138" s="44"/>
      <c r="C138" s="39" t="e">
        <f>SUM(B138:B143)/COUNT(B138:B143)</f>
        <v>#DIV/0!</v>
      </c>
      <c r="D138" s="39">
        <f>COUNT(B138:B143)</f>
        <v>0</v>
      </c>
      <c r="E138" s="55">
        <f>($B138-intercept)/slope</f>
        <v>-1.76945907657413</v>
      </c>
      <c r="F138" s="42" t="e">
        <f>$E138+(($E138-xmean)*gval_95-ABS((tval_95*svalue/slope))*SQRT(($E138-xmean)^2/S_xx+(Ndata+$D138)*(1-gval_95)/Ndata/$D138))/(1-gval_95)</f>
        <v>#DIV/0!</v>
      </c>
      <c r="G138" s="42" t="e">
        <f>$E138+(($E138-xmean)*gval_95+ABS((tval_95*svalue/slope))*SQRT(($E138-xmean)^2/S_xx+(Ndata+$D138)*(1-gval_95)/Ndata/$D138))/(1-gval_95)</f>
        <v>#DIV/0!</v>
      </c>
      <c r="H138" s="42" t="e">
        <f>$E138+(($E138-xmean)*gval_99-ABS((tval_99*svalue/slope))*SQRT(($E138-xmean)^2/S_xx+(Ndata+$D138)*(1-gval_99)/Ndata/$D138))/(1-gval_99)</f>
        <v>#DIV/0!</v>
      </c>
      <c r="I138" s="42" t="e">
        <f>$E138+(($E138-xmean)*gval_99+ABS((tval_99*svalue/slope))*SQRT(($E138-xmean)^2/S_xx+(Ndata+$D138)*(1-gval_99)/Ndata/$D138))/(1-gval_99)</f>
        <v>#DIV/0!</v>
      </c>
    </row>
    <row r="139" spans="1:9">
      <c r="B139" s="44"/>
      <c r="F139" t="e">
        <f>F138-$E138</f>
        <v>#DIV/0!</v>
      </c>
      <c r="G139" t="e">
        <f>G138-$E138</f>
        <v>#DIV/0!</v>
      </c>
      <c r="H139" t="e">
        <f>H138-$E138</f>
        <v>#DIV/0!</v>
      </c>
      <c r="I139" t="e">
        <f>I138-$E138</f>
        <v>#DIV/0!</v>
      </c>
    </row>
    <row r="140" spans="1:9">
      <c r="B140" s="44"/>
    </row>
    <row r="141" spans="1:9">
      <c r="B141" s="44"/>
    </row>
    <row r="142" spans="1:9">
      <c r="B142" s="44"/>
    </row>
    <row r="143" spans="1:9">
      <c r="B143" s="44"/>
    </row>
    <row r="145" spans="1:9">
      <c r="A145" t="s">
        <v>65</v>
      </c>
      <c r="B145" s="44" t="s">
        <v>45</v>
      </c>
      <c r="C145" s="39" t="s">
        <v>54</v>
      </c>
      <c r="D145" s="39" t="s">
        <v>63</v>
      </c>
      <c r="E145" s="41" t="s">
        <v>50</v>
      </c>
      <c r="F145" s="130" t="s">
        <v>47</v>
      </c>
      <c r="G145" s="130"/>
      <c r="H145" s="130" t="s">
        <v>48</v>
      </c>
      <c r="I145" s="130"/>
    </row>
    <row r="146" spans="1:9">
      <c r="B146" s="44"/>
      <c r="C146" s="39" t="e">
        <f>SUM(B146:B151)/COUNT(B146:B151)</f>
        <v>#DIV/0!</v>
      </c>
      <c r="D146" s="39">
        <f>COUNT(B146:B151)</f>
        <v>0</v>
      </c>
      <c r="E146" s="55">
        <f>($B146-intercept)/slope</f>
        <v>-1.76945907657413</v>
      </c>
      <c r="F146" s="42" t="e">
        <f>$E146+(($E146-xmean)*gval_95-ABS((tval_95*svalue/slope))*SQRT(($E146-xmean)^2/S_xx+(Ndata+$D146)*(1-gval_95)/Ndata/$D146))/(1-gval_95)</f>
        <v>#DIV/0!</v>
      </c>
      <c r="G146" s="42" t="e">
        <f>$E146+(($E146-xmean)*gval_95+ABS((tval_95*svalue/slope))*SQRT(($E146-xmean)^2/S_xx+(Ndata+$D146)*(1-gval_95)/Ndata/$D146))/(1-gval_95)</f>
        <v>#DIV/0!</v>
      </c>
      <c r="H146" s="42" t="e">
        <f>$E146+(($E146-xmean)*gval_99-ABS((tval_99*svalue/slope))*SQRT(($E146-xmean)^2/S_xx+(Ndata+$D146)*(1-gval_99)/Ndata/$D146))/(1-gval_99)</f>
        <v>#DIV/0!</v>
      </c>
      <c r="I146" s="42" t="e">
        <f>$E146+(($E146-xmean)*gval_99+ABS((tval_99*svalue/slope))*SQRT(($E146-xmean)^2/S_xx+(Ndata+$D146)*(1-gval_99)/Ndata/$D146))/(1-gval_99)</f>
        <v>#DIV/0!</v>
      </c>
    </row>
    <row r="147" spans="1:9">
      <c r="B147" s="44"/>
      <c r="F147" t="e">
        <f>F146-$E146</f>
        <v>#DIV/0!</v>
      </c>
      <c r="G147" t="e">
        <f>G146-$E146</f>
        <v>#DIV/0!</v>
      </c>
      <c r="H147" t="e">
        <f>H146-$E146</f>
        <v>#DIV/0!</v>
      </c>
      <c r="I147" t="e">
        <f>I146-$E146</f>
        <v>#DIV/0!</v>
      </c>
    </row>
    <row r="148" spans="1:9">
      <c r="B148" s="44"/>
    </row>
    <row r="149" spans="1:9">
      <c r="B149" s="44"/>
    </row>
    <row r="150" spans="1:9">
      <c r="B150" s="44"/>
    </row>
    <row r="151" spans="1:9">
      <c r="B151" s="44"/>
    </row>
    <row r="153" spans="1:9">
      <c r="A153" t="s">
        <v>65</v>
      </c>
      <c r="B153" s="44" t="s">
        <v>45</v>
      </c>
      <c r="C153" s="39" t="s">
        <v>54</v>
      </c>
      <c r="D153" s="39" t="s">
        <v>63</v>
      </c>
      <c r="E153" s="41" t="s">
        <v>50</v>
      </c>
      <c r="F153" s="130" t="s">
        <v>47</v>
      </c>
      <c r="G153" s="130"/>
      <c r="H153" s="130" t="s">
        <v>48</v>
      </c>
      <c r="I153" s="130"/>
    </row>
    <row r="154" spans="1:9">
      <c r="B154" s="44"/>
      <c r="C154" s="39" t="e">
        <f>SUM(B154:B159)/COUNT(B154:B159)</f>
        <v>#DIV/0!</v>
      </c>
      <c r="D154" s="39">
        <f>COUNT(B154:B159)</f>
        <v>0</v>
      </c>
      <c r="E154" s="55">
        <f>($B154-intercept)/slope</f>
        <v>-1.76945907657413</v>
      </c>
      <c r="F154" s="42" t="e">
        <f>$E154+(($E154-xmean)*gval_95-ABS((tval_95*svalue/slope))*SQRT(($E154-xmean)^2/S_xx+(Ndata+$D154)*(1-gval_95)/Ndata/$D154))/(1-gval_95)</f>
        <v>#DIV/0!</v>
      </c>
      <c r="G154" s="42" t="e">
        <f>$E154+(($E154-xmean)*gval_95+ABS((tval_95*svalue/slope))*SQRT(($E154-xmean)^2/S_xx+(Ndata+$D154)*(1-gval_95)/Ndata/$D154))/(1-gval_95)</f>
        <v>#DIV/0!</v>
      </c>
      <c r="H154" s="42" t="e">
        <f>$E154+(($E154-xmean)*gval_99-ABS((tval_99*svalue/slope))*SQRT(($E154-xmean)^2/S_xx+(Ndata+$D154)*(1-gval_99)/Ndata/$D154))/(1-gval_99)</f>
        <v>#DIV/0!</v>
      </c>
      <c r="I154" s="42" t="e">
        <f>$E154+(($E154-xmean)*gval_99+ABS((tval_99*svalue/slope))*SQRT(($E154-xmean)^2/S_xx+(Ndata+$D154)*(1-gval_99)/Ndata/$D154))/(1-gval_99)</f>
        <v>#DIV/0!</v>
      </c>
    </row>
    <row r="155" spans="1:9">
      <c r="B155" s="44"/>
      <c r="F155" t="e">
        <f>F154-$E154</f>
        <v>#DIV/0!</v>
      </c>
      <c r="G155" t="e">
        <f>G154-$E154</f>
        <v>#DIV/0!</v>
      </c>
      <c r="H155" t="e">
        <f>H154-$E154</f>
        <v>#DIV/0!</v>
      </c>
      <c r="I155" t="e">
        <f>I154-$E154</f>
        <v>#DIV/0!</v>
      </c>
    </row>
    <row r="156" spans="1:9">
      <c r="B156" s="44"/>
    </row>
    <row r="157" spans="1:9">
      <c r="B157" s="44"/>
    </row>
    <row r="158" spans="1:9">
      <c r="B158" s="44"/>
    </row>
    <row r="159" spans="1:9">
      <c r="B159" s="44"/>
    </row>
    <row r="161" spans="1:9">
      <c r="A161" t="s">
        <v>65</v>
      </c>
      <c r="B161" s="44" t="s">
        <v>45</v>
      </c>
      <c r="C161" s="39" t="s">
        <v>54</v>
      </c>
      <c r="D161" s="39" t="s">
        <v>63</v>
      </c>
      <c r="E161" s="41" t="s">
        <v>50</v>
      </c>
      <c r="F161" s="130" t="s">
        <v>47</v>
      </c>
      <c r="G161" s="130"/>
      <c r="H161" s="130" t="s">
        <v>48</v>
      </c>
      <c r="I161" s="130"/>
    </row>
    <row r="162" spans="1:9">
      <c r="B162" s="44"/>
      <c r="C162" s="39" t="e">
        <f>SUM(B162:B167)/COUNT(B162:B167)</f>
        <v>#DIV/0!</v>
      </c>
      <c r="D162" s="39">
        <f>COUNT(B162:B167)</f>
        <v>0</v>
      </c>
      <c r="E162" s="55">
        <f>($B162-intercept)/slope</f>
        <v>-1.76945907657413</v>
      </c>
      <c r="F162" s="42" t="e">
        <f>$E162+(($E162-xmean)*gval_95-ABS((tval_95*svalue/slope))*SQRT(($E162-xmean)^2/S_xx+(Ndata+$D162)*(1-gval_95)/Ndata/$D162))/(1-gval_95)</f>
        <v>#DIV/0!</v>
      </c>
      <c r="G162" s="42" t="e">
        <f>$E162+(($E162-xmean)*gval_95+ABS((tval_95*svalue/slope))*SQRT(($E162-xmean)^2/S_xx+(Ndata+$D162)*(1-gval_95)/Ndata/$D162))/(1-gval_95)</f>
        <v>#DIV/0!</v>
      </c>
      <c r="H162" s="42" t="e">
        <f>$E162+(($E162-xmean)*gval_99-ABS((tval_99*svalue/slope))*SQRT(($E162-xmean)^2/S_xx+(Ndata+$D162)*(1-gval_99)/Ndata/$D162))/(1-gval_99)</f>
        <v>#DIV/0!</v>
      </c>
      <c r="I162" s="42" t="e">
        <f>$E162+(($E162-xmean)*gval_99+ABS((tval_99*svalue/slope))*SQRT(($E162-xmean)^2/S_xx+(Ndata+$D162)*(1-gval_99)/Ndata/$D162))/(1-gval_99)</f>
        <v>#DIV/0!</v>
      </c>
    </row>
    <row r="163" spans="1:9">
      <c r="B163" s="44"/>
      <c r="F163" t="e">
        <f>F162-$E162</f>
        <v>#DIV/0!</v>
      </c>
      <c r="G163" t="e">
        <f>G162-$E162</f>
        <v>#DIV/0!</v>
      </c>
      <c r="H163" t="e">
        <f>H162-$E162</f>
        <v>#DIV/0!</v>
      </c>
      <c r="I163" t="e">
        <f>I162-$E162</f>
        <v>#DIV/0!</v>
      </c>
    </row>
    <row r="164" spans="1:9">
      <c r="B164" s="44"/>
    </row>
    <row r="165" spans="1:9">
      <c r="B165" s="44"/>
    </row>
    <row r="166" spans="1:9">
      <c r="B166" s="44"/>
    </row>
    <row r="167" spans="1:9">
      <c r="B167" s="44"/>
    </row>
    <row r="169" spans="1:9">
      <c r="A169" t="s">
        <v>65</v>
      </c>
      <c r="B169" s="44" t="s">
        <v>45</v>
      </c>
      <c r="C169" s="39" t="s">
        <v>54</v>
      </c>
      <c r="D169" s="39" t="s">
        <v>63</v>
      </c>
      <c r="E169" s="41" t="s">
        <v>50</v>
      </c>
      <c r="F169" s="130" t="s">
        <v>47</v>
      </c>
      <c r="G169" s="130"/>
      <c r="H169" s="130" t="s">
        <v>48</v>
      </c>
      <c r="I169" s="130"/>
    </row>
    <row r="170" spans="1:9">
      <c r="B170" s="44"/>
      <c r="C170" s="39" t="e">
        <f>SUM(B170:B175)/COUNT(B170:B175)</f>
        <v>#DIV/0!</v>
      </c>
      <c r="D170" s="39">
        <f>COUNT(B170:B175)</f>
        <v>0</v>
      </c>
      <c r="E170" s="55">
        <f>($B170-intercept)/slope</f>
        <v>-1.76945907657413</v>
      </c>
      <c r="F170" s="42" t="e">
        <f>$E170+(($E170-xmean)*gval_95-ABS((tval_95*svalue/slope))*SQRT(($E170-xmean)^2/S_xx+(Ndata+$D170)*(1-gval_95)/Ndata/$D170))/(1-gval_95)</f>
        <v>#DIV/0!</v>
      </c>
      <c r="G170" s="42" t="e">
        <f>$E170+(($E170-xmean)*gval_95+ABS((tval_95*svalue/slope))*SQRT(($E170-xmean)^2/S_xx+(Ndata+$D170)*(1-gval_95)/Ndata/$D170))/(1-gval_95)</f>
        <v>#DIV/0!</v>
      </c>
      <c r="H170" s="42" t="e">
        <f>$E170+(($E170-xmean)*gval_99-ABS((tval_99*svalue/slope))*SQRT(($E170-xmean)^2/S_xx+(Ndata+$D170)*(1-gval_99)/Ndata/$D170))/(1-gval_99)</f>
        <v>#DIV/0!</v>
      </c>
      <c r="I170" s="42" t="e">
        <f>$E170+(($E170-xmean)*gval_99+ABS((tval_99*svalue/slope))*SQRT(($E170-xmean)^2/S_xx+(Ndata+$D170)*(1-gval_99)/Ndata/$D170))/(1-gval_99)</f>
        <v>#DIV/0!</v>
      </c>
    </row>
    <row r="171" spans="1:9">
      <c r="B171" s="44"/>
      <c r="F171" t="e">
        <f>F170-$E170</f>
        <v>#DIV/0!</v>
      </c>
      <c r="G171" t="e">
        <f>G170-$E170</f>
        <v>#DIV/0!</v>
      </c>
      <c r="H171" t="e">
        <f>H170-$E170</f>
        <v>#DIV/0!</v>
      </c>
      <c r="I171" t="e">
        <f>I170-$E170</f>
        <v>#DIV/0!</v>
      </c>
    </row>
    <row r="172" spans="1:9">
      <c r="B172" s="44"/>
    </row>
    <row r="173" spans="1:9">
      <c r="B173" s="44"/>
    </row>
    <row r="174" spans="1:9">
      <c r="B174" s="44"/>
    </row>
    <row r="175" spans="1:9">
      <c r="B175" s="44"/>
    </row>
    <row r="177" spans="1:9">
      <c r="A177" t="s">
        <v>65</v>
      </c>
      <c r="B177" s="44" t="s">
        <v>45</v>
      </c>
      <c r="C177" s="39" t="s">
        <v>54</v>
      </c>
      <c r="D177" s="39" t="s">
        <v>63</v>
      </c>
      <c r="E177" s="41" t="s">
        <v>50</v>
      </c>
      <c r="F177" s="130" t="s">
        <v>47</v>
      </c>
      <c r="G177" s="130"/>
      <c r="H177" s="130" t="s">
        <v>48</v>
      </c>
      <c r="I177" s="130"/>
    </row>
    <row r="178" spans="1:9">
      <c r="B178" s="44"/>
      <c r="C178" s="39" t="e">
        <f>SUM(B178:B183)/COUNT(B178:B183)</f>
        <v>#DIV/0!</v>
      </c>
      <c r="D178" s="39">
        <f>COUNT(B178:B183)</f>
        <v>0</v>
      </c>
      <c r="E178" s="55">
        <f>($B178-intercept)/slope</f>
        <v>-1.76945907657413</v>
      </c>
      <c r="F178" s="42" t="e">
        <f>$E178+(($E178-xmean)*gval_95-ABS((tval_95*svalue/slope))*SQRT(($E178-xmean)^2/S_xx+(Ndata+$D178)*(1-gval_95)/Ndata/$D178))/(1-gval_95)</f>
        <v>#DIV/0!</v>
      </c>
      <c r="G178" s="42" t="e">
        <f>$E178+(($E178-xmean)*gval_95+ABS((tval_95*svalue/slope))*SQRT(($E178-xmean)^2/S_xx+(Ndata+$D178)*(1-gval_95)/Ndata/$D178))/(1-gval_95)</f>
        <v>#DIV/0!</v>
      </c>
      <c r="H178" s="42" t="e">
        <f>$E178+(($E178-xmean)*gval_99-ABS((tval_99*svalue/slope))*SQRT(($E178-xmean)^2/S_xx+(Ndata+$D178)*(1-gval_99)/Ndata/$D178))/(1-gval_99)</f>
        <v>#DIV/0!</v>
      </c>
      <c r="I178" s="42" t="e">
        <f>$E178+(($E178-xmean)*gval_99+ABS((tval_99*svalue/slope))*SQRT(($E178-xmean)^2/S_xx+(Ndata+$D178)*(1-gval_99)/Ndata/$D178))/(1-gval_99)</f>
        <v>#DIV/0!</v>
      </c>
    </row>
    <row r="179" spans="1:9">
      <c r="B179" s="44"/>
      <c r="F179" t="e">
        <f>F178-$E178</f>
        <v>#DIV/0!</v>
      </c>
      <c r="G179" t="e">
        <f>G178-$E178</f>
        <v>#DIV/0!</v>
      </c>
      <c r="H179" t="e">
        <f>H178-$E178</f>
        <v>#DIV/0!</v>
      </c>
      <c r="I179" t="e">
        <f>I178-$E178</f>
        <v>#DIV/0!</v>
      </c>
    </row>
    <row r="180" spans="1:9">
      <c r="B180" s="44"/>
    </row>
    <row r="181" spans="1:9">
      <c r="B181" s="44"/>
    </row>
    <row r="182" spans="1:9">
      <c r="B182" s="44"/>
    </row>
    <row r="183" spans="1:9">
      <c r="B183" s="44"/>
    </row>
    <row r="185" spans="1:9">
      <c r="A185" t="s">
        <v>65</v>
      </c>
      <c r="B185" s="44" t="s">
        <v>45</v>
      </c>
      <c r="C185" s="39" t="s">
        <v>54</v>
      </c>
      <c r="D185" s="39" t="s">
        <v>63</v>
      </c>
      <c r="E185" s="41" t="s">
        <v>50</v>
      </c>
      <c r="F185" s="130" t="s">
        <v>47</v>
      </c>
      <c r="G185" s="130"/>
      <c r="H185" s="130" t="s">
        <v>48</v>
      </c>
      <c r="I185" s="130"/>
    </row>
    <row r="186" spans="1:9">
      <c r="B186" s="44"/>
      <c r="C186" s="39" t="e">
        <f>SUM(B186:B191)/COUNT(B186:B191)</f>
        <v>#DIV/0!</v>
      </c>
      <c r="D186" s="39">
        <f>COUNT(B186:B191)</f>
        <v>0</v>
      </c>
      <c r="E186" s="55">
        <f>($B186-intercept)/slope</f>
        <v>-1.76945907657413</v>
      </c>
      <c r="F186" s="42" t="e">
        <f>$E186+(($E186-xmean)*gval_95-ABS((tval_95*svalue/slope))*SQRT(($E186-xmean)^2/S_xx+(Ndata+$D186)*(1-gval_95)/Ndata/$D186))/(1-gval_95)</f>
        <v>#DIV/0!</v>
      </c>
      <c r="G186" s="42" t="e">
        <f>$E186+(($E186-xmean)*gval_95+ABS((tval_95*svalue/slope))*SQRT(($E186-xmean)^2/S_xx+(Ndata+$D186)*(1-gval_95)/Ndata/$D186))/(1-gval_95)</f>
        <v>#DIV/0!</v>
      </c>
      <c r="H186" s="42" t="e">
        <f>$E186+(($E186-xmean)*gval_99-ABS((tval_99*svalue/slope))*SQRT(($E186-xmean)^2/S_xx+(Ndata+$D186)*(1-gval_99)/Ndata/$D186))/(1-gval_99)</f>
        <v>#DIV/0!</v>
      </c>
      <c r="I186" s="42" t="e">
        <f>$E186+(($E186-xmean)*gval_99+ABS((tval_99*svalue/slope))*SQRT(($E186-xmean)^2/S_xx+(Ndata+$D186)*(1-gval_99)/Ndata/$D186))/(1-gval_99)</f>
        <v>#DIV/0!</v>
      </c>
    </row>
    <row r="187" spans="1:9">
      <c r="B187" s="44"/>
      <c r="F187" t="e">
        <f>F186-$E186</f>
        <v>#DIV/0!</v>
      </c>
      <c r="G187" t="e">
        <f>G186-$E186</f>
        <v>#DIV/0!</v>
      </c>
      <c r="H187" t="e">
        <f>H186-$E186</f>
        <v>#DIV/0!</v>
      </c>
      <c r="I187" t="e">
        <f>I186-$E186</f>
        <v>#DIV/0!</v>
      </c>
    </row>
    <row r="188" spans="1:9">
      <c r="B188" s="44"/>
    </row>
    <row r="189" spans="1:9">
      <c r="B189" s="44"/>
    </row>
    <row r="190" spans="1:9">
      <c r="B190" s="44"/>
    </row>
    <row r="191" spans="1:9">
      <c r="B191" s="44"/>
    </row>
    <row r="193" spans="1:9">
      <c r="A193" t="s">
        <v>65</v>
      </c>
      <c r="B193" s="44" t="s">
        <v>45</v>
      </c>
      <c r="C193" s="39" t="s">
        <v>54</v>
      </c>
      <c r="D193" s="39" t="s">
        <v>63</v>
      </c>
      <c r="E193" s="41" t="s">
        <v>50</v>
      </c>
      <c r="F193" s="130" t="s">
        <v>47</v>
      </c>
      <c r="G193" s="130"/>
      <c r="H193" s="130" t="s">
        <v>48</v>
      </c>
      <c r="I193" s="130"/>
    </row>
    <row r="194" spans="1:9">
      <c r="B194" s="44"/>
      <c r="C194" s="39" t="e">
        <f>SUM(B194:B199)/COUNT(B194:B199)</f>
        <v>#DIV/0!</v>
      </c>
      <c r="D194" s="39">
        <f>COUNT(B194:B199)</f>
        <v>0</v>
      </c>
      <c r="E194" s="55">
        <f>($B194-intercept)/slope</f>
        <v>-1.76945907657413</v>
      </c>
      <c r="F194" s="42" t="e">
        <f>$E194+(($E194-xmean)*gval_95-ABS((tval_95*svalue/slope))*SQRT(($E194-xmean)^2/S_xx+(Ndata+$D194)*(1-gval_95)/Ndata/$D194))/(1-gval_95)</f>
        <v>#DIV/0!</v>
      </c>
      <c r="G194" s="42" t="e">
        <f>$E194+(($E194-xmean)*gval_95+ABS((tval_95*svalue/slope))*SQRT(($E194-xmean)^2/S_xx+(Ndata+$D194)*(1-gval_95)/Ndata/$D194))/(1-gval_95)</f>
        <v>#DIV/0!</v>
      </c>
      <c r="H194" s="42" t="e">
        <f>$E194+(($E194-xmean)*gval_99-ABS((tval_99*svalue/slope))*SQRT(($E194-xmean)^2/S_xx+(Ndata+$D194)*(1-gval_99)/Ndata/$D194))/(1-gval_99)</f>
        <v>#DIV/0!</v>
      </c>
      <c r="I194" s="42" t="e">
        <f>$E194+(($E194-xmean)*gval_99+ABS((tval_99*svalue/slope))*SQRT(($E194-xmean)^2/S_xx+(Ndata+$D194)*(1-gval_99)/Ndata/$D194))/(1-gval_99)</f>
        <v>#DIV/0!</v>
      </c>
    </row>
    <row r="195" spans="1:9">
      <c r="B195" s="44"/>
      <c r="F195" t="e">
        <f>F194-$E194</f>
        <v>#DIV/0!</v>
      </c>
      <c r="G195" t="e">
        <f>G194-$E194</f>
        <v>#DIV/0!</v>
      </c>
      <c r="H195" t="e">
        <f>H194-$E194</f>
        <v>#DIV/0!</v>
      </c>
      <c r="I195" t="e">
        <f>I194-$E194</f>
        <v>#DIV/0!</v>
      </c>
    </row>
    <row r="196" spans="1:9">
      <c r="B196" s="44"/>
    </row>
    <row r="197" spans="1:9">
      <c r="B197" s="44"/>
    </row>
    <row r="198" spans="1:9">
      <c r="B198" s="44"/>
    </row>
    <row r="199" spans="1:9">
      <c r="B199" s="44"/>
    </row>
    <row r="201" spans="1:9">
      <c r="A201" t="s">
        <v>65</v>
      </c>
      <c r="B201" s="44" t="s">
        <v>45</v>
      </c>
      <c r="C201" s="39" t="s">
        <v>54</v>
      </c>
      <c r="D201" s="39" t="s">
        <v>63</v>
      </c>
      <c r="E201" s="41" t="s">
        <v>50</v>
      </c>
      <c r="F201" s="130" t="s">
        <v>47</v>
      </c>
      <c r="G201" s="130"/>
      <c r="H201" s="130" t="s">
        <v>48</v>
      </c>
      <c r="I201" s="130"/>
    </row>
    <row r="202" spans="1:9">
      <c r="B202" s="44"/>
      <c r="C202" s="39" t="e">
        <f>SUM(B202:B207)/COUNT(B202:B207)</f>
        <v>#DIV/0!</v>
      </c>
      <c r="D202" s="39">
        <f>COUNT(B202:B207)</f>
        <v>0</v>
      </c>
      <c r="E202" s="55">
        <f>($B202-intercept)/slope</f>
        <v>-1.76945907657413</v>
      </c>
      <c r="F202" s="42" t="e">
        <f>$E202+(($E202-xmean)*gval_95-ABS((tval_95*svalue/slope))*SQRT(($E202-xmean)^2/S_xx+(Ndata+$D202)*(1-gval_95)/Ndata/$D202))/(1-gval_95)</f>
        <v>#DIV/0!</v>
      </c>
      <c r="G202" s="42" t="e">
        <f>$E202+(($E202-xmean)*gval_95+ABS((tval_95*svalue/slope))*SQRT(($E202-xmean)^2/S_xx+(Ndata+$D202)*(1-gval_95)/Ndata/$D202))/(1-gval_95)</f>
        <v>#DIV/0!</v>
      </c>
      <c r="H202" s="42" t="e">
        <f>$E202+(($E202-xmean)*gval_99-ABS((tval_99*svalue/slope))*SQRT(($E202-xmean)^2/S_xx+(Ndata+$D202)*(1-gval_99)/Ndata/$D202))/(1-gval_99)</f>
        <v>#DIV/0!</v>
      </c>
      <c r="I202" s="42" t="e">
        <f>$E202+(($E202-xmean)*gval_99+ABS((tval_99*svalue/slope))*SQRT(($E202-xmean)^2/S_xx+(Ndata+$D202)*(1-gval_99)/Ndata/$D202))/(1-gval_99)</f>
        <v>#DIV/0!</v>
      </c>
    </row>
    <row r="203" spans="1:9">
      <c r="B203" s="44"/>
      <c r="F203" t="e">
        <f>F202-$E202</f>
        <v>#DIV/0!</v>
      </c>
      <c r="G203" t="e">
        <f>G202-$E202</f>
        <v>#DIV/0!</v>
      </c>
      <c r="H203" t="e">
        <f>H202-$E202</f>
        <v>#DIV/0!</v>
      </c>
      <c r="I203" t="e">
        <f>I202-$E202</f>
        <v>#DIV/0!</v>
      </c>
    </row>
    <row r="204" spans="1:9">
      <c r="B204" s="44"/>
    </row>
    <row r="205" spans="1:9">
      <c r="B205" s="44"/>
    </row>
    <row r="206" spans="1:9">
      <c r="B206" s="44"/>
    </row>
    <row r="207" spans="1:9">
      <c r="B207" s="44"/>
    </row>
    <row r="209" spans="1:9">
      <c r="A209" t="s">
        <v>65</v>
      </c>
      <c r="B209" s="44" t="s">
        <v>45</v>
      </c>
      <c r="C209" s="39" t="s">
        <v>54</v>
      </c>
      <c r="D209" s="39" t="s">
        <v>63</v>
      </c>
      <c r="E209" s="41" t="s">
        <v>50</v>
      </c>
      <c r="F209" s="130" t="s">
        <v>47</v>
      </c>
      <c r="G209" s="130"/>
      <c r="H209" s="130" t="s">
        <v>48</v>
      </c>
      <c r="I209" s="130"/>
    </row>
    <row r="210" spans="1:9">
      <c r="B210" s="44"/>
      <c r="C210" s="39" t="e">
        <f>SUM(B210:B215)/COUNT(B210:B215)</f>
        <v>#DIV/0!</v>
      </c>
      <c r="D210" s="39">
        <f>COUNT(B210:B215)</f>
        <v>0</v>
      </c>
      <c r="E210" s="55">
        <f>($B210-intercept)/slope</f>
        <v>-1.76945907657413</v>
      </c>
      <c r="F210" s="42" t="e">
        <f>$E210+(($E210-xmean)*gval_95-ABS((tval_95*svalue/slope))*SQRT(($E210-xmean)^2/S_xx+(Ndata+$D210)*(1-gval_95)/Ndata/$D210))/(1-gval_95)</f>
        <v>#DIV/0!</v>
      </c>
      <c r="G210" s="42" t="e">
        <f>$E210+(($E210-xmean)*gval_95+ABS((tval_95*svalue/slope))*SQRT(($E210-xmean)^2/S_xx+(Ndata+$D210)*(1-gval_95)/Ndata/$D210))/(1-gval_95)</f>
        <v>#DIV/0!</v>
      </c>
      <c r="H210" s="42" t="e">
        <f>$E210+(($E210-xmean)*gval_99-ABS((tval_99*svalue/slope))*SQRT(($E210-xmean)^2/S_xx+(Ndata+$D210)*(1-gval_99)/Ndata/$D210))/(1-gval_99)</f>
        <v>#DIV/0!</v>
      </c>
      <c r="I210" s="42" t="e">
        <f>$E210+(($E210-xmean)*gval_99+ABS((tval_99*svalue/slope))*SQRT(($E210-xmean)^2/S_xx+(Ndata+$D210)*(1-gval_99)/Ndata/$D210))/(1-gval_99)</f>
        <v>#DIV/0!</v>
      </c>
    </row>
    <row r="211" spans="1:9">
      <c r="B211" s="44"/>
      <c r="F211" t="e">
        <f>F210-$E210</f>
        <v>#DIV/0!</v>
      </c>
      <c r="G211" t="e">
        <f>G210-$E210</f>
        <v>#DIV/0!</v>
      </c>
      <c r="H211" t="e">
        <f>H210-$E210</f>
        <v>#DIV/0!</v>
      </c>
      <c r="I211" t="e">
        <f>I210-$E210</f>
        <v>#DIV/0!</v>
      </c>
    </row>
    <row r="212" spans="1:9">
      <c r="B212" s="44"/>
    </row>
    <row r="213" spans="1:9">
      <c r="B213" s="44"/>
    </row>
    <row r="214" spans="1:9">
      <c r="B214" s="44"/>
    </row>
    <row r="215" spans="1:9">
      <c r="B215" s="44"/>
    </row>
    <row r="217" spans="1:9">
      <c r="A217" t="s">
        <v>65</v>
      </c>
      <c r="B217" s="44" t="s">
        <v>45</v>
      </c>
      <c r="C217" s="39" t="s">
        <v>54</v>
      </c>
      <c r="D217" s="39" t="s">
        <v>63</v>
      </c>
      <c r="E217" s="41" t="s">
        <v>50</v>
      </c>
      <c r="F217" s="130" t="s">
        <v>47</v>
      </c>
      <c r="G217" s="130"/>
      <c r="H217" s="130" t="s">
        <v>48</v>
      </c>
      <c r="I217" s="130"/>
    </row>
    <row r="218" spans="1:9">
      <c r="B218" s="44"/>
      <c r="C218" s="39" t="e">
        <f>SUM(B218:B223)/COUNT(B218:B223)</f>
        <v>#DIV/0!</v>
      </c>
      <c r="D218" s="39">
        <f>COUNT(B218:B223)</f>
        <v>0</v>
      </c>
      <c r="E218" s="55">
        <f>($B218-intercept)/slope</f>
        <v>-1.76945907657413</v>
      </c>
      <c r="F218" s="42" t="e">
        <f>$E218+(($E218-xmean)*gval_95-ABS((tval_95*svalue/slope))*SQRT(($E218-xmean)^2/S_xx+(Ndata+$D218)*(1-gval_95)/Ndata/$D218))/(1-gval_95)</f>
        <v>#DIV/0!</v>
      </c>
      <c r="G218" s="42" t="e">
        <f>$E218+(($E218-xmean)*gval_95+ABS((tval_95*svalue/slope))*SQRT(($E218-xmean)^2/S_xx+(Ndata+$D218)*(1-gval_95)/Ndata/$D218))/(1-gval_95)</f>
        <v>#DIV/0!</v>
      </c>
      <c r="H218" s="42" t="e">
        <f>$E218+(($E218-xmean)*gval_99-ABS((tval_99*svalue/slope))*SQRT(($E218-xmean)^2/S_xx+(Ndata+$D218)*(1-gval_99)/Ndata/$D218))/(1-gval_99)</f>
        <v>#DIV/0!</v>
      </c>
      <c r="I218" s="42" t="e">
        <f>$E218+(($E218-xmean)*gval_99+ABS((tval_99*svalue/slope))*SQRT(($E218-xmean)^2/S_xx+(Ndata+$D218)*(1-gval_99)/Ndata/$D218))/(1-gval_99)</f>
        <v>#DIV/0!</v>
      </c>
    </row>
    <row r="219" spans="1:9">
      <c r="B219" s="44"/>
      <c r="F219" t="e">
        <f>F218-$E218</f>
        <v>#DIV/0!</v>
      </c>
      <c r="G219" t="e">
        <f>G218-$E218</f>
        <v>#DIV/0!</v>
      </c>
      <c r="H219" t="e">
        <f>H218-$E218</f>
        <v>#DIV/0!</v>
      </c>
      <c r="I219" t="e">
        <f>I218-$E218</f>
        <v>#DIV/0!</v>
      </c>
    </row>
    <row r="220" spans="1:9">
      <c r="B220" s="44"/>
    </row>
    <row r="221" spans="1:9">
      <c r="B221" s="44"/>
    </row>
    <row r="222" spans="1:9">
      <c r="B222" s="44"/>
    </row>
    <row r="223" spans="1:9">
      <c r="B223" s="44"/>
    </row>
    <row r="225" spans="1:9">
      <c r="A225" t="s">
        <v>65</v>
      </c>
      <c r="B225" s="44" t="s">
        <v>45</v>
      </c>
      <c r="C225" s="39" t="s">
        <v>54</v>
      </c>
      <c r="D225" s="39" t="s">
        <v>63</v>
      </c>
      <c r="E225" s="41" t="s">
        <v>50</v>
      </c>
      <c r="F225" s="130" t="s">
        <v>47</v>
      </c>
      <c r="G225" s="130"/>
      <c r="H225" s="130" t="s">
        <v>48</v>
      </c>
      <c r="I225" s="130"/>
    </row>
    <row r="226" spans="1:9">
      <c r="B226" s="44"/>
      <c r="C226" s="39" t="e">
        <f>SUM(B226:B231)/COUNT(B226:B231)</f>
        <v>#DIV/0!</v>
      </c>
      <c r="D226" s="39">
        <f>COUNT(B226:B231)</f>
        <v>0</v>
      </c>
      <c r="E226" s="55">
        <f>($B226-intercept)/slope</f>
        <v>-1.76945907657413</v>
      </c>
      <c r="F226" s="42" t="e">
        <f>$E226+(($E226-xmean)*gval_95-ABS((tval_95*svalue/slope))*SQRT(($E226-xmean)^2/S_xx+(Ndata+$D226)*(1-gval_95)/Ndata/$D226))/(1-gval_95)</f>
        <v>#DIV/0!</v>
      </c>
      <c r="G226" s="42" t="e">
        <f>$E226+(($E226-xmean)*gval_95+ABS((tval_95*svalue/slope))*SQRT(($E226-xmean)^2/S_xx+(Ndata+$D226)*(1-gval_95)/Ndata/$D226))/(1-gval_95)</f>
        <v>#DIV/0!</v>
      </c>
      <c r="H226" s="42" t="e">
        <f>$E226+(($E226-xmean)*gval_99-ABS((tval_99*svalue/slope))*SQRT(($E226-xmean)^2/S_xx+(Ndata+$D226)*(1-gval_99)/Ndata/$D226))/(1-gval_99)</f>
        <v>#DIV/0!</v>
      </c>
      <c r="I226" s="42" t="e">
        <f>$E226+(($E226-xmean)*gval_99+ABS((tval_99*svalue/slope))*SQRT(($E226-xmean)^2/S_xx+(Ndata+$D226)*(1-gval_99)/Ndata/$D226))/(1-gval_99)</f>
        <v>#DIV/0!</v>
      </c>
    </row>
    <row r="227" spans="1:9">
      <c r="B227" s="44"/>
      <c r="F227" t="e">
        <f>F226-$E226</f>
        <v>#DIV/0!</v>
      </c>
      <c r="G227" t="e">
        <f>G226-$E226</f>
        <v>#DIV/0!</v>
      </c>
      <c r="H227" t="e">
        <f>H226-$E226</f>
        <v>#DIV/0!</v>
      </c>
      <c r="I227" t="e">
        <f>I226-$E226</f>
        <v>#DIV/0!</v>
      </c>
    </row>
    <row r="228" spans="1:9">
      <c r="B228" s="44"/>
    </row>
    <row r="229" spans="1:9">
      <c r="B229" s="44"/>
    </row>
    <row r="230" spans="1:9">
      <c r="B230" s="44"/>
    </row>
    <row r="231" spans="1:9">
      <c r="B231" s="44"/>
    </row>
    <row r="233" spans="1:9">
      <c r="A233" t="s">
        <v>65</v>
      </c>
      <c r="B233" s="44" t="s">
        <v>45</v>
      </c>
      <c r="C233" s="39" t="s">
        <v>54</v>
      </c>
      <c r="D233" s="39" t="s">
        <v>63</v>
      </c>
      <c r="E233" s="41" t="s">
        <v>50</v>
      </c>
      <c r="F233" s="130" t="s">
        <v>47</v>
      </c>
      <c r="G233" s="130"/>
      <c r="H233" s="130" t="s">
        <v>48</v>
      </c>
      <c r="I233" s="130"/>
    </row>
    <row r="234" spans="1:9">
      <c r="B234" s="44"/>
      <c r="C234" s="39" t="e">
        <f>SUM(B234:B239)/COUNT(B234:B239)</f>
        <v>#DIV/0!</v>
      </c>
      <c r="D234" s="39">
        <f>COUNT(B234:B239)</f>
        <v>0</v>
      </c>
      <c r="E234" s="55">
        <f>($B234-intercept)/slope</f>
        <v>-1.76945907657413</v>
      </c>
      <c r="F234" s="42" t="e">
        <f>$E234+(($E234-xmean)*gval_95-ABS((tval_95*svalue/slope))*SQRT(($E234-xmean)^2/S_xx+(Ndata+$D234)*(1-gval_95)/Ndata/$D234))/(1-gval_95)</f>
        <v>#DIV/0!</v>
      </c>
      <c r="G234" s="42" t="e">
        <f>$E234+(($E234-xmean)*gval_95+ABS((tval_95*svalue/slope))*SQRT(($E234-xmean)^2/S_xx+(Ndata+$D234)*(1-gval_95)/Ndata/$D234))/(1-gval_95)</f>
        <v>#DIV/0!</v>
      </c>
      <c r="H234" s="42" t="e">
        <f>$E234+(($E234-xmean)*gval_99-ABS((tval_99*svalue/slope))*SQRT(($E234-xmean)^2/S_xx+(Ndata+$D234)*(1-gval_99)/Ndata/$D234))/(1-gval_99)</f>
        <v>#DIV/0!</v>
      </c>
      <c r="I234" s="42" t="e">
        <f>$E234+(($E234-xmean)*gval_99+ABS((tval_99*svalue/slope))*SQRT(($E234-xmean)^2/S_xx+(Ndata+$D234)*(1-gval_99)/Ndata/$D234))/(1-gval_99)</f>
        <v>#DIV/0!</v>
      </c>
    </row>
    <row r="235" spans="1:9">
      <c r="B235" s="44"/>
      <c r="F235" t="e">
        <f>F234-$E234</f>
        <v>#DIV/0!</v>
      </c>
      <c r="G235" t="e">
        <f>G234-$E234</f>
        <v>#DIV/0!</v>
      </c>
      <c r="H235" t="e">
        <f>H234-$E234</f>
        <v>#DIV/0!</v>
      </c>
      <c r="I235" t="e">
        <f>I234-$E234</f>
        <v>#DIV/0!</v>
      </c>
    </row>
    <row r="236" spans="1:9">
      <c r="B236" s="44"/>
    </row>
    <row r="237" spans="1:9">
      <c r="B237" s="44"/>
    </row>
    <row r="238" spans="1:9">
      <c r="B238" s="44"/>
    </row>
    <row r="239" spans="1:9">
      <c r="B239" s="44"/>
    </row>
    <row r="241" spans="1:9">
      <c r="A241" t="s">
        <v>65</v>
      </c>
      <c r="B241" s="44" t="s">
        <v>45</v>
      </c>
      <c r="C241" s="39" t="s">
        <v>54</v>
      </c>
      <c r="D241" s="39" t="s">
        <v>63</v>
      </c>
      <c r="E241" s="41" t="s">
        <v>50</v>
      </c>
      <c r="F241" s="130" t="s">
        <v>47</v>
      </c>
      <c r="G241" s="130"/>
      <c r="H241" s="130" t="s">
        <v>48</v>
      </c>
      <c r="I241" s="130"/>
    </row>
    <row r="242" spans="1:9">
      <c r="B242" s="44"/>
      <c r="C242" s="39" t="e">
        <f>SUM(B242:B247)/COUNT(B242:B247)</f>
        <v>#DIV/0!</v>
      </c>
      <c r="D242" s="39">
        <f>COUNT(B242:B247)</f>
        <v>0</v>
      </c>
      <c r="E242" s="55">
        <f>($B242-intercept)/slope</f>
        <v>-1.76945907657413</v>
      </c>
      <c r="F242" s="42" t="e">
        <f>$E242+(($E242-xmean)*gval_95-ABS((tval_95*svalue/slope))*SQRT(($E242-xmean)^2/S_xx+(Ndata+$D242)*(1-gval_95)/Ndata/$D242))/(1-gval_95)</f>
        <v>#DIV/0!</v>
      </c>
      <c r="G242" s="42" t="e">
        <f>$E242+(($E242-xmean)*gval_95+ABS((tval_95*svalue/slope))*SQRT(($E242-xmean)^2/S_xx+(Ndata+$D242)*(1-gval_95)/Ndata/$D242))/(1-gval_95)</f>
        <v>#DIV/0!</v>
      </c>
      <c r="H242" s="42" t="e">
        <f>$E242+(($E242-xmean)*gval_99-ABS((tval_99*svalue/slope))*SQRT(($E242-xmean)^2/S_xx+(Ndata+$D242)*(1-gval_99)/Ndata/$D242))/(1-gval_99)</f>
        <v>#DIV/0!</v>
      </c>
      <c r="I242" s="42" t="e">
        <f>$E242+(($E242-xmean)*gval_99+ABS((tval_99*svalue/slope))*SQRT(($E242-xmean)^2/S_xx+(Ndata+$D242)*(1-gval_99)/Ndata/$D242))/(1-gval_99)</f>
        <v>#DIV/0!</v>
      </c>
    </row>
    <row r="243" spans="1:9">
      <c r="B243" s="44"/>
      <c r="F243" t="e">
        <f>F242-$E242</f>
        <v>#DIV/0!</v>
      </c>
      <c r="G243" t="e">
        <f>G242-$E242</f>
        <v>#DIV/0!</v>
      </c>
      <c r="H243" t="e">
        <f>H242-$E242</f>
        <v>#DIV/0!</v>
      </c>
      <c r="I243" t="e">
        <f>I242-$E242</f>
        <v>#DIV/0!</v>
      </c>
    </row>
    <row r="244" spans="1:9">
      <c r="B244" s="44"/>
    </row>
    <row r="245" spans="1:9">
      <c r="B245" s="44"/>
    </row>
    <row r="246" spans="1:9">
      <c r="B246" s="44"/>
    </row>
    <row r="247" spans="1:9">
      <c r="B247" s="44"/>
    </row>
    <row r="249" spans="1:9">
      <c r="A249" t="s">
        <v>65</v>
      </c>
      <c r="B249" s="44" t="s">
        <v>45</v>
      </c>
      <c r="C249" s="39" t="s">
        <v>54</v>
      </c>
      <c r="D249" s="39" t="s">
        <v>63</v>
      </c>
      <c r="E249" s="41" t="s">
        <v>50</v>
      </c>
      <c r="F249" s="130" t="s">
        <v>47</v>
      </c>
      <c r="G249" s="130"/>
      <c r="H249" s="130" t="s">
        <v>48</v>
      </c>
      <c r="I249" s="130"/>
    </row>
    <row r="250" spans="1:9">
      <c r="B250" s="44"/>
      <c r="C250" s="39" t="e">
        <f>SUM(B250:B255)/COUNT(B250:B255)</f>
        <v>#DIV/0!</v>
      </c>
      <c r="D250" s="39">
        <f>COUNT(B250:B255)</f>
        <v>0</v>
      </c>
      <c r="E250" s="55">
        <f>($B250-intercept)/slope</f>
        <v>-1.76945907657413</v>
      </c>
      <c r="F250" s="42" t="e">
        <f>$E250+(($E250-xmean)*gval_95-ABS((tval_95*svalue/slope))*SQRT(($E250-xmean)^2/S_xx+(Ndata+$D250)*(1-gval_95)/Ndata/$D250))/(1-gval_95)</f>
        <v>#DIV/0!</v>
      </c>
      <c r="G250" s="42" t="e">
        <f>$E250+(($E250-xmean)*gval_95+ABS((tval_95*svalue/slope))*SQRT(($E250-xmean)^2/S_xx+(Ndata+$D250)*(1-gval_95)/Ndata/$D250))/(1-gval_95)</f>
        <v>#DIV/0!</v>
      </c>
      <c r="H250" s="42" t="e">
        <f>$E250+(($E250-xmean)*gval_99-ABS((tval_99*svalue/slope))*SQRT(($E250-xmean)^2/S_xx+(Ndata+$D250)*(1-gval_99)/Ndata/$D250))/(1-gval_99)</f>
        <v>#DIV/0!</v>
      </c>
      <c r="I250" s="42" t="e">
        <f>$E250+(($E250-xmean)*gval_99+ABS((tval_99*svalue/slope))*SQRT(($E250-xmean)^2/S_xx+(Ndata+$D250)*(1-gval_99)/Ndata/$D250))/(1-gval_99)</f>
        <v>#DIV/0!</v>
      </c>
    </row>
    <row r="251" spans="1:9">
      <c r="B251" s="44"/>
      <c r="F251" t="e">
        <f>F250-$E250</f>
        <v>#DIV/0!</v>
      </c>
      <c r="G251" t="e">
        <f>G250-$E250</f>
        <v>#DIV/0!</v>
      </c>
      <c r="H251" t="e">
        <f>H250-$E250</f>
        <v>#DIV/0!</v>
      </c>
      <c r="I251" t="e">
        <f>I250-$E250</f>
        <v>#DIV/0!</v>
      </c>
    </row>
    <row r="252" spans="1:9">
      <c r="B252" s="44"/>
    </row>
    <row r="253" spans="1:9">
      <c r="B253" s="44"/>
    </row>
    <row r="254" spans="1:9">
      <c r="B254" s="44"/>
    </row>
    <row r="255" spans="1:9">
      <c r="B255" s="44"/>
    </row>
    <row r="257" spans="1:9">
      <c r="A257" t="s">
        <v>65</v>
      </c>
      <c r="B257" s="44" t="s">
        <v>45</v>
      </c>
      <c r="C257" s="39" t="s">
        <v>54</v>
      </c>
      <c r="D257" s="39" t="s">
        <v>63</v>
      </c>
      <c r="E257" s="41" t="s">
        <v>50</v>
      </c>
      <c r="F257" s="130" t="s">
        <v>47</v>
      </c>
      <c r="G257" s="130"/>
      <c r="H257" s="130" t="s">
        <v>48</v>
      </c>
      <c r="I257" s="130"/>
    </row>
    <row r="258" spans="1:9">
      <c r="B258" s="44"/>
      <c r="C258" s="39" t="e">
        <f>SUM(B258:B263)/COUNT(B258:B263)</f>
        <v>#DIV/0!</v>
      </c>
      <c r="D258" s="39">
        <f>COUNT(B258:B263)</f>
        <v>0</v>
      </c>
      <c r="E258" s="55">
        <f>($B258-intercept)/slope</f>
        <v>-1.76945907657413</v>
      </c>
      <c r="F258" s="42" t="e">
        <f>$E258+(($E258-xmean)*gval_95-ABS((tval_95*svalue/slope))*SQRT(($E258-xmean)^2/S_xx+(Ndata+$D258)*(1-gval_95)/Ndata/$D258))/(1-gval_95)</f>
        <v>#DIV/0!</v>
      </c>
      <c r="G258" s="42" t="e">
        <f>$E258+(($E258-xmean)*gval_95+ABS((tval_95*svalue/slope))*SQRT(($E258-xmean)^2/S_xx+(Ndata+$D258)*(1-gval_95)/Ndata/$D258))/(1-gval_95)</f>
        <v>#DIV/0!</v>
      </c>
      <c r="H258" s="42" t="e">
        <f>$E258+(($E258-xmean)*gval_99-ABS((tval_99*svalue/slope))*SQRT(($E258-xmean)^2/S_xx+(Ndata+$D258)*(1-gval_99)/Ndata/$D258))/(1-gval_99)</f>
        <v>#DIV/0!</v>
      </c>
      <c r="I258" s="42" t="e">
        <f>$E258+(($E258-xmean)*gval_99+ABS((tval_99*svalue/slope))*SQRT(($E258-xmean)^2/S_xx+(Ndata+$D258)*(1-gval_99)/Ndata/$D258))/(1-gval_99)</f>
        <v>#DIV/0!</v>
      </c>
    </row>
    <row r="259" spans="1:9">
      <c r="B259" s="44"/>
      <c r="F259" t="e">
        <f>F258-$E258</f>
        <v>#DIV/0!</v>
      </c>
      <c r="G259" t="e">
        <f>G258-$E258</f>
        <v>#DIV/0!</v>
      </c>
      <c r="H259" t="e">
        <f>H258-$E258</f>
        <v>#DIV/0!</v>
      </c>
      <c r="I259" t="e">
        <f>I258-$E258</f>
        <v>#DIV/0!</v>
      </c>
    </row>
    <row r="260" spans="1:9">
      <c r="B260" s="44"/>
    </row>
    <row r="261" spans="1:9">
      <c r="B261" s="44"/>
    </row>
    <row r="262" spans="1:9">
      <c r="B262" s="44"/>
    </row>
    <row r="263" spans="1:9">
      <c r="B263" s="44"/>
    </row>
    <row r="265" spans="1:9">
      <c r="A265" t="s">
        <v>65</v>
      </c>
      <c r="B265" s="44" t="s">
        <v>45</v>
      </c>
      <c r="C265" s="39" t="s">
        <v>54</v>
      </c>
      <c r="D265" s="39" t="s">
        <v>63</v>
      </c>
      <c r="E265" s="41" t="s">
        <v>50</v>
      </c>
      <c r="F265" s="130" t="s">
        <v>47</v>
      </c>
      <c r="G265" s="130"/>
      <c r="H265" s="130" t="s">
        <v>48</v>
      </c>
      <c r="I265" s="130"/>
    </row>
    <row r="266" spans="1:9">
      <c r="B266" s="44"/>
      <c r="C266" s="39" t="e">
        <f>SUM(B266:B271)/COUNT(B266:B271)</f>
        <v>#DIV/0!</v>
      </c>
      <c r="D266" s="39">
        <f>COUNT(B266:B271)</f>
        <v>0</v>
      </c>
      <c r="E266" s="55">
        <f>($B266-intercept)/slope</f>
        <v>-1.76945907657413</v>
      </c>
      <c r="F266" s="42" t="e">
        <f>$E266+(($E266-xmean)*gval_95-ABS((tval_95*svalue/slope))*SQRT(($E266-xmean)^2/S_xx+(Ndata+$D266)*(1-gval_95)/Ndata/$D266))/(1-gval_95)</f>
        <v>#DIV/0!</v>
      </c>
      <c r="G266" s="42" t="e">
        <f>$E266+(($E266-xmean)*gval_95+ABS((tval_95*svalue/slope))*SQRT(($E266-xmean)^2/S_xx+(Ndata+$D266)*(1-gval_95)/Ndata/$D266))/(1-gval_95)</f>
        <v>#DIV/0!</v>
      </c>
      <c r="H266" s="42" t="e">
        <f>$E266+(($E266-xmean)*gval_99-ABS((tval_99*svalue/slope))*SQRT(($E266-xmean)^2/S_xx+(Ndata+$D266)*(1-gval_99)/Ndata/$D266))/(1-gval_99)</f>
        <v>#DIV/0!</v>
      </c>
      <c r="I266" s="42" t="e">
        <f>$E266+(($E266-xmean)*gval_99+ABS((tval_99*svalue/slope))*SQRT(($E266-xmean)^2/S_xx+(Ndata+$D266)*(1-gval_99)/Ndata/$D266))/(1-gval_99)</f>
        <v>#DIV/0!</v>
      </c>
    </row>
    <row r="267" spans="1:9">
      <c r="B267" s="44"/>
      <c r="F267" t="e">
        <f>F266-$E266</f>
        <v>#DIV/0!</v>
      </c>
      <c r="G267" t="e">
        <f>G266-$E266</f>
        <v>#DIV/0!</v>
      </c>
      <c r="H267" t="e">
        <f>H266-$E266</f>
        <v>#DIV/0!</v>
      </c>
      <c r="I267" t="e">
        <f>I266-$E266</f>
        <v>#DIV/0!</v>
      </c>
    </row>
    <row r="268" spans="1:9">
      <c r="B268" s="44"/>
    </row>
    <row r="269" spans="1:9">
      <c r="B269" s="44"/>
    </row>
    <row r="270" spans="1:9">
      <c r="B270" s="44"/>
    </row>
    <row r="271" spans="1:9">
      <c r="B271" s="44"/>
    </row>
    <row r="273" spans="1:9">
      <c r="A273" t="s">
        <v>65</v>
      </c>
      <c r="B273" s="44" t="s">
        <v>45</v>
      </c>
      <c r="C273" s="39" t="s">
        <v>54</v>
      </c>
      <c r="D273" s="39" t="s">
        <v>63</v>
      </c>
      <c r="E273" s="41" t="s">
        <v>50</v>
      </c>
      <c r="F273" s="130" t="s">
        <v>47</v>
      </c>
      <c r="G273" s="130"/>
      <c r="H273" s="130" t="s">
        <v>48</v>
      </c>
      <c r="I273" s="130"/>
    </row>
    <row r="274" spans="1:9">
      <c r="B274" s="44"/>
      <c r="C274" s="39" t="e">
        <f>SUM(B274:B279)/COUNT(B274:B279)</f>
        <v>#DIV/0!</v>
      </c>
      <c r="D274" s="39">
        <f>COUNT(B274:B279)</f>
        <v>0</v>
      </c>
      <c r="E274" s="55">
        <f>($B274-intercept)/slope</f>
        <v>-1.76945907657413</v>
      </c>
      <c r="F274" s="42" t="e">
        <f>$E274+(($E274-xmean)*gval_95-ABS((tval_95*svalue/slope))*SQRT(($E274-xmean)^2/S_xx+(Ndata+$D274)*(1-gval_95)/Ndata/$D274))/(1-gval_95)</f>
        <v>#DIV/0!</v>
      </c>
      <c r="G274" s="42" t="e">
        <f>$E274+(($E274-xmean)*gval_95+ABS((tval_95*svalue/slope))*SQRT(($E274-xmean)^2/S_xx+(Ndata+$D274)*(1-gval_95)/Ndata/$D274))/(1-gval_95)</f>
        <v>#DIV/0!</v>
      </c>
      <c r="H274" s="42" t="e">
        <f>$E274+(($E274-xmean)*gval_99-ABS((tval_99*svalue/slope))*SQRT(($E274-xmean)^2/S_xx+(Ndata+$D274)*(1-gval_99)/Ndata/$D274))/(1-gval_99)</f>
        <v>#DIV/0!</v>
      </c>
      <c r="I274" s="42" t="e">
        <f>$E274+(($E274-xmean)*gval_99+ABS((tval_99*svalue/slope))*SQRT(($E274-xmean)^2/S_xx+(Ndata+$D274)*(1-gval_99)/Ndata/$D274))/(1-gval_99)</f>
        <v>#DIV/0!</v>
      </c>
    </row>
    <row r="275" spans="1:9">
      <c r="B275" s="44"/>
      <c r="F275" t="e">
        <f>F274-$E274</f>
        <v>#DIV/0!</v>
      </c>
      <c r="G275" t="e">
        <f>G274-$E274</f>
        <v>#DIV/0!</v>
      </c>
      <c r="H275" t="e">
        <f>H274-$E274</f>
        <v>#DIV/0!</v>
      </c>
      <c r="I275" t="e">
        <f>I274-$E274</f>
        <v>#DIV/0!</v>
      </c>
    </row>
    <row r="276" spans="1:9">
      <c r="B276" s="44"/>
    </row>
    <row r="277" spans="1:9">
      <c r="B277" s="44"/>
    </row>
    <row r="278" spans="1:9">
      <c r="B278" s="44"/>
    </row>
    <row r="279" spans="1:9">
      <c r="B279" s="44"/>
    </row>
    <row r="281" spans="1:9">
      <c r="A281" t="s">
        <v>65</v>
      </c>
      <c r="B281" s="44" t="s">
        <v>45</v>
      </c>
      <c r="C281" s="39" t="s">
        <v>54</v>
      </c>
      <c r="D281" s="39" t="s">
        <v>63</v>
      </c>
      <c r="E281" s="41" t="s">
        <v>50</v>
      </c>
      <c r="F281" s="130" t="s">
        <v>47</v>
      </c>
      <c r="G281" s="130"/>
      <c r="H281" s="130" t="s">
        <v>48</v>
      </c>
      <c r="I281" s="130"/>
    </row>
    <row r="282" spans="1:9">
      <c r="B282" s="44"/>
      <c r="C282" s="39" t="e">
        <f>SUM(B282:B287)/COUNT(B282:B287)</f>
        <v>#DIV/0!</v>
      </c>
      <c r="D282" s="39">
        <f>COUNT(B282:B287)</f>
        <v>0</v>
      </c>
      <c r="E282" s="55">
        <f>($B282-intercept)/slope</f>
        <v>-1.76945907657413</v>
      </c>
      <c r="F282" s="42" t="e">
        <f>$E282+(($E282-xmean)*gval_95-ABS((tval_95*svalue/slope))*SQRT(($E282-xmean)^2/S_xx+(Ndata+$D282)*(1-gval_95)/Ndata/$D282))/(1-gval_95)</f>
        <v>#DIV/0!</v>
      </c>
      <c r="G282" s="42" t="e">
        <f>$E282+(($E282-xmean)*gval_95+ABS((tval_95*svalue/slope))*SQRT(($E282-xmean)^2/S_xx+(Ndata+$D282)*(1-gval_95)/Ndata/$D282))/(1-gval_95)</f>
        <v>#DIV/0!</v>
      </c>
      <c r="H282" s="42" t="e">
        <f>$E282+(($E282-xmean)*gval_99-ABS((tval_99*svalue/slope))*SQRT(($E282-xmean)^2/S_xx+(Ndata+$D282)*(1-gval_99)/Ndata/$D282))/(1-gval_99)</f>
        <v>#DIV/0!</v>
      </c>
      <c r="I282" s="42" t="e">
        <f>$E282+(($E282-xmean)*gval_99+ABS((tval_99*svalue/slope))*SQRT(($E282-xmean)^2/S_xx+(Ndata+$D282)*(1-gval_99)/Ndata/$D282))/(1-gval_99)</f>
        <v>#DIV/0!</v>
      </c>
    </row>
    <row r="283" spans="1:9">
      <c r="B283" s="44"/>
      <c r="F283" t="e">
        <f>F282-$E282</f>
        <v>#DIV/0!</v>
      </c>
      <c r="G283" t="e">
        <f>G282-$E282</f>
        <v>#DIV/0!</v>
      </c>
      <c r="H283" t="e">
        <f>H282-$E282</f>
        <v>#DIV/0!</v>
      </c>
      <c r="I283" t="e">
        <f>I282-$E282</f>
        <v>#DIV/0!</v>
      </c>
    </row>
    <row r="284" spans="1:9">
      <c r="B284" s="44"/>
    </row>
    <row r="285" spans="1:9">
      <c r="B285" s="44"/>
    </row>
    <row r="286" spans="1:9">
      <c r="B286" s="44"/>
    </row>
    <row r="287" spans="1:9">
      <c r="B287" s="44"/>
    </row>
    <row r="289" spans="1:9">
      <c r="A289" t="s">
        <v>65</v>
      </c>
      <c r="B289" s="44" t="s">
        <v>45</v>
      </c>
      <c r="C289" s="39" t="s">
        <v>54</v>
      </c>
      <c r="D289" s="39" t="s">
        <v>63</v>
      </c>
      <c r="E289" s="41" t="s">
        <v>50</v>
      </c>
      <c r="F289" s="130" t="s">
        <v>47</v>
      </c>
      <c r="G289" s="130"/>
      <c r="H289" s="130" t="s">
        <v>48</v>
      </c>
      <c r="I289" s="130"/>
    </row>
    <row r="290" spans="1:9">
      <c r="B290" s="44"/>
      <c r="C290" s="39" t="e">
        <f>SUM(B290:B295)/COUNT(B290:B295)</f>
        <v>#DIV/0!</v>
      </c>
      <c r="D290" s="39">
        <f>COUNT(B290:B295)</f>
        <v>0</v>
      </c>
      <c r="E290" s="55">
        <f>($B290-intercept)/slope</f>
        <v>-1.76945907657413</v>
      </c>
      <c r="F290" s="42" t="e">
        <f>$E290+(($E290-xmean)*gval_95-ABS((tval_95*svalue/slope))*SQRT(($E290-xmean)^2/S_xx+(Ndata+$D290)*(1-gval_95)/Ndata/$D290))/(1-gval_95)</f>
        <v>#DIV/0!</v>
      </c>
      <c r="G290" s="42" t="e">
        <f>$E290+(($E290-xmean)*gval_95+ABS((tval_95*svalue/slope))*SQRT(($E290-xmean)^2/S_xx+(Ndata+$D290)*(1-gval_95)/Ndata/$D290))/(1-gval_95)</f>
        <v>#DIV/0!</v>
      </c>
      <c r="H290" s="42" t="e">
        <f>$E290+(($E290-xmean)*gval_99-ABS((tval_99*svalue/slope))*SQRT(($E290-xmean)^2/S_xx+(Ndata+$D290)*(1-gval_99)/Ndata/$D290))/(1-gval_99)</f>
        <v>#DIV/0!</v>
      </c>
      <c r="I290" s="42" t="e">
        <f>$E290+(($E290-xmean)*gval_99+ABS((tval_99*svalue/slope))*SQRT(($E290-xmean)^2/S_xx+(Ndata+$D290)*(1-gval_99)/Ndata/$D290))/(1-gval_99)</f>
        <v>#DIV/0!</v>
      </c>
    </row>
    <row r="291" spans="1:9">
      <c r="B291" s="44"/>
      <c r="F291" t="e">
        <f>F290-$E290</f>
        <v>#DIV/0!</v>
      </c>
      <c r="G291" t="e">
        <f>G290-$E290</f>
        <v>#DIV/0!</v>
      </c>
      <c r="H291" t="e">
        <f>H290-$E290</f>
        <v>#DIV/0!</v>
      </c>
      <c r="I291" t="e">
        <f>I290-$E290</f>
        <v>#DIV/0!</v>
      </c>
    </row>
    <row r="292" spans="1:9">
      <c r="B292" s="44"/>
    </row>
    <row r="293" spans="1:9">
      <c r="B293" s="44"/>
    </row>
    <row r="294" spans="1:9">
      <c r="B294" s="44"/>
    </row>
    <row r="295" spans="1:9">
      <c r="B295" s="44"/>
    </row>
    <row r="297" spans="1:9">
      <c r="A297" t="s">
        <v>65</v>
      </c>
      <c r="B297" s="44" t="s">
        <v>45</v>
      </c>
      <c r="C297" s="39" t="s">
        <v>54</v>
      </c>
      <c r="D297" s="39" t="s">
        <v>63</v>
      </c>
      <c r="E297" s="41" t="s">
        <v>50</v>
      </c>
      <c r="F297" s="130" t="s">
        <v>47</v>
      </c>
      <c r="G297" s="130"/>
      <c r="H297" s="130" t="s">
        <v>48</v>
      </c>
      <c r="I297" s="130"/>
    </row>
    <row r="298" spans="1:9">
      <c r="B298" s="44"/>
      <c r="C298" s="39" t="e">
        <f>SUM(B298:B303)/COUNT(B298:B303)</f>
        <v>#DIV/0!</v>
      </c>
      <c r="D298" s="39">
        <f>COUNT(B298:B303)</f>
        <v>0</v>
      </c>
      <c r="E298" s="55">
        <f>($B298-intercept)/slope</f>
        <v>-1.76945907657413</v>
      </c>
      <c r="F298" s="42" t="e">
        <f>$E298+(($E298-xmean)*gval_95-ABS((tval_95*svalue/slope))*SQRT(($E298-xmean)^2/S_xx+(Ndata+$D298)*(1-gval_95)/Ndata/$D298))/(1-gval_95)</f>
        <v>#DIV/0!</v>
      </c>
      <c r="G298" s="42" t="e">
        <f>$E298+(($E298-xmean)*gval_95+ABS((tval_95*svalue/slope))*SQRT(($E298-xmean)^2/S_xx+(Ndata+$D298)*(1-gval_95)/Ndata/$D298))/(1-gval_95)</f>
        <v>#DIV/0!</v>
      </c>
      <c r="H298" s="42" t="e">
        <f>$E298+(($E298-xmean)*gval_99-ABS((tval_99*svalue/slope))*SQRT(($E298-xmean)^2/S_xx+(Ndata+$D298)*(1-gval_99)/Ndata/$D298))/(1-gval_99)</f>
        <v>#DIV/0!</v>
      </c>
      <c r="I298" s="42" t="e">
        <f>$E298+(($E298-xmean)*gval_99+ABS((tval_99*svalue/slope))*SQRT(($E298-xmean)^2/S_xx+(Ndata+$D298)*(1-gval_99)/Ndata/$D298))/(1-gval_99)</f>
        <v>#DIV/0!</v>
      </c>
    </row>
    <row r="299" spans="1:9">
      <c r="B299" s="44"/>
      <c r="F299" t="e">
        <f>F298-$E298</f>
        <v>#DIV/0!</v>
      </c>
      <c r="G299" t="e">
        <f>G298-$E298</f>
        <v>#DIV/0!</v>
      </c>
      <c r="H299" t="e">
        <f>H298-$E298</f>
        <v>#DIV/0!</v>
      </c>
      <c r="I299" t="e">
        <f>I298-$E298</f>
        <v>#DIV/0!</v>
      </c>
    </row>
    <row r="300" spans="1:9">
      <c r="B300" s="44"/>
    </row>
    <row r="301" spans="1:9">
      <c r="B301" s="44"/>
    </row>
    <row r="302" spans="1:9">
      <c r="B302" s="44"/>
    </row>
    <row r="303" spans="1:9">
      <c r="B303" s="44"/>
    </row>
    <row r="305" spans="1:9">
      <c r="A305" t="s">
        <v>65</v>
      </c>
      <c r="B305" s="44" t="s">
        <v>45</v>
      </c>
      <c r="C305" s="39" t="s">
        <v>54</v>
      </c>
      <c r="D305" s="39" t="s">
        <v>63</v>
      </c>
      <c r="E305" s="41" t="s">
        <v>50</v>
      </c>
      <c r="F305" s="130" t="s">
        <v>47</v>
      </c>
      <c r="G305" s="130"/>
      <c r="H305" s="130" t="s">
        <v>48</v>
      </c>
      <c r="I305" s="130"/>
    </row>
    <row r="306" spans="1:9">
      <c r="B306" s="44"/>
      <c r="C306" s="39" t="e">
        <f>SUM(B306:B311)/COUNT(B306:B311)</f>
        <v>#DIV/0!</v>
      </c>
      <c r="D306" s="39">
        <f>COUNT(B306:B311)</f>
        <v>0</v>
      </c>
      <c r="E306" s="55">
        <f>($B306-intercept)/slope</f>
        <v>-1.76945907657413</v>
      </c>
      <c r="F306" s="42" t="e">
        <f>$E306+(($E306-xmean)*gval_95-ABS((tval_95*svalue/slope))*SQRT(($E306-xmean)^2/S_xx+(Ndata+$D306)*(1-gval_95)/Ndata/$D306))/(1-gval_95)</f>
        <v>#DIV/0!</v>
      </c>
      <c r="G306" s="42" t="e">
        <f>$E306+(($E306-xmean)*gval_95+ABS((tval_95*svalue/slope))*SQRT(($E306-xmean)^2/S_xx+(Ndata+$D306)*(1-gval_95)/Ndata/$D306))/(1-gval_95)</f>
        <v>#DIV/0!</v>
      </c>
      <c r="H306" s="42" t="e">
        <f>$E306+(($E306-xmean)*gval_99-ABS((tval_99*svalue/slope))*SQRT(($E306-xmean)^2/S_xx+(Ndata+$D306)*(1-gval_99)/Ndata/$D306))/(1-gval_99)</f>
        <v>#DIV/0!</v>
      </c>
      <c r="I306" s="42" t="e">
        <f>$E306+(($E306-xmean)*gval_99+ABS((tval_99*svalue/slope))*SQRT(($E306-xmean)^2/S_xx+(Ndata+$D306)*(1-gval_99)/Ndata/$D306))/(1-gval_99)</f>
        <v>#DIV/0!</v>
      </c>
    </row>
    <row r="307" spans="1:9">
      <c r="B307" s="44"/>
      <c r="F307" t="e">
        <f>F306-$E306</f>
        <v>#DIV/0!</v>
      </c>
      <c r="G307" t="e">
        <f>G306-$E306</f>
        <v>#DIV/0!</v>
      </c>
      <c r="H307" t="e">
        <f>H306-$E306</f>
        <v>#DIV/0!</v>
      </c>
      <c r="I307" t="e">
        <f>I306-$E306</f>
        <v>#DIV/0!</v>
      </c>
    </row>
    <row r="308" spans="1:9">
      <c r="B308" s="44"/>
    </row>
    <row r="309" spans="1:9">
      <c r="B309" s="44"/>
    </row>
    <row r="310" spans="1:9">
      <c r="B310" s="44"/>
    </row>
    <row r="311" spans="1:9">
      <c r="B311" s="44"/>
    </row>
    <row r="313" spans="1:9">
      <c r="A313" t="s">
        <v>65</v>
      </c>
      <c r="B313" s="44" t="s">
        <v>45</v>
      </c>
      <c r="C313" s="39" t="s">
        <v>54</v>
      </c>
      <c r="D313" s="39" t="s">
        <v>63</v>
      </c>
      <c r="E313" s="41" t="s">
        <v>50</v>
      </c>
      <c r="F313" s="130" t="s">
        <v>47</v>
      </c>
      <c r="G313" s="130"/>
      <c r="H313" s="130" t="s">
        <v>48</v>
      </c>
      <c r="I313" s="130"/>
    </row>
    <row r="314" spans="1:9">
      <c r="B314" s="44"/>
      <c r="C314" s="39" t="e">
        <f>SUM(B314:B319)/COUNT(B314:B319)</f>
        <v>#DIV/0!</v>
      </c>
      <c r="D314" s="39">
        <f>COUNT(B314:B319)</f>
        <v>0</v>
      </c>
      <c r="E314" s="55">
        <f>($B314-intercept)/slope</f>
        <v>-1.76945907657413</v>
      </c>
      <c r="F314" s="42" t="e">
        <f>$E314+(($E314-xmean)*gval_95-ABS((tval_95*svalue/slope))*SQRT(($E314-xmean)^2/S_xx+(Ndata+$D314)*(1-gval_95)/Ndata/$D314))/(1-gval_95)</f>
        <v>#DIV/0!</v>
      </c>
      <c r="G314" s="42" t="e">
        <f>$E314+(($E314-xmean)*gval_95+ABS((tval_95*svalue/slope))*SQRT(($E314-xmean)^2/S_xx+(Ndata+$D314)*(1-gval_95)/Ndata/$D314))/(1-gval_95)</f>
        <v>#DIV/0!</v>
      </c>
      <c r="H314" s="42" t="e">
        <f>$E314+(($E314-xmean)*gval_99-ABS((tval_99*svalue/slope))*SQRT(($E314-xmean)^2/S_xx+(Ndata+$D314)*(1-gval_99)/Ndata/$D314))/(1-gval_99)</f>
        <v>#DIV/0!</v>
      </c>
      <c r="I314" s="42" t="e">
        <f>$E314+(($E314-xmean)*gval_99+ABS((tval_99*svalue/slope))*SQRT(($E314-xmean)^2/S_xx+(Ndata+$D314)*(1-gval_99)/Ndata/$D314))/(1-gval_99)</f>
        <v>#DIV/0!</v>
      </c>
    </row>
    <row r="315" spans="1:9">
      <c r="B315" s="44"/>
      <c r="F315" t="e">
        <f>F314-$E314</f>
        <v>#DIV/0!</v>
      </c>
      <c r="G315" t="e">
        <f>G314-$E314</f>
        <v>#DIV/0!</v>
      </c>
      <c r="H315" t="e">
        <f>H314-$E314</f>
        <v>#DIV/0!</v>
      </c>
      <c r="I315" t="e">
        <f>I314-$E314</f>
        <v>#DIV/0!</v>
      </c>
    </row>
    <row r="316" spans="1:9">
      <c r="B316" s="44"/>
    </row>
    <row r="317" spans="1:9">
      <c r="B317" s="44"/>
    </row>
    <row r="318" spans="1:9">
      <c r="B318" s="44"/>
    </row>
    <row r="319" spans="1:9">
      <c r="B319" s="44"/>
    </row>
    <row r="321" spans="1:9">
      <c r="A321" t="s">
        <v>65</v>
      </c>
      <c r="B321" s="44" t="s">
        <v>45</v>
      </c>
      <c r="C321" s="39" t="s">
        <v>54</v>
      </c>
      <c r="D321" s="39" t="s">
        <v>63</v>
      </c>
      <c r="E321" s="41" t="s">
        <v>50</v>
      </c>
      <c r="F321" s="130" t="s">
        <v>47</v>
      </c>
      <c r="G321" s="130"/>
      <c r="H321" s="130" t="s">
        <v>48</v>
      </c>
      <c r="I321" s="130"/>
    </row>
    <row r="322" spans="1:9">
      <c r="B322" s="44"/>
      <c r="C322" s="39" t="e">
        <f>SUM(B322:B327)/COUNT(B322:B327)</f>
        <v>#DIV/0!</v>
      </c>
      <c r="D322" s="39">
        <f>COUNT(B322:B327)</f>
        <v>0</v>
      </c>
      <c r="E322" s="55">
        <f>($B322-intercept)/slope</f>
        <v>-1.76945907657413</v>
      </c>
      <c r="F322" s="42" t="e">
        <f>$E322+(($E322-xmean)*gval_95-ABS((tval_95*svalue/slope))*SQRT(($E322-xmean)^2/S_xx+(Ndata+$D322)*(1-gval_95)/Ndata/$D322))/(1-gval_95)</f>
        <v>#DIV/0!</v>
      </c>
      <c r="G322" s="42" t="e">
        <f>$E322+(($E322-xmean)*gval_95+ABS((tval_95*svalue/slope))*SQRT(($E322-xmean)^2/S_xx+(Ndata+$D322)*(1-gval_95)/Ndata/$D322))/(1-gval_95)</f>
        <v>#DIV/0!</v>
      </c>
      <c r="H322" s="42" t="e">
        <f>$E322+(($E322-xmean)*gval_99-ABS((tval_99*svalue/slope))*SQRT(($E322-xmean)^2/S_xx+(Ndata+$D322)*(1-gval_99)/Ndata/$D322))/(1-gval_99)</f>
        <v>#DIV/0!</v>
      </c>
      <c r="I322" s="42" t="e">
        <f>$E322+(($E322-xmean)*gval_99+ABS((tval_99*svalue/slope))*SQRT(($E322-xmean)^2/S_xx+(Ndata+$D322)*(1-gval_99)/Ndata/$D322))/(1-gval_99)</f>
        <v>#DIV/0!</v>
      </c>
    </row>
    <row r="323" spans="1:9">
      <c r="B323" s="44"/>
      <c r="F323" t="e">
        <f>F322-$E322</f>
        <v>#DIV/0!</v>
      </c>
      <c r="G323" t="e">
        <f>G322-$E322</f>
        <v>#DIV/0!</v>
      </c>
      <c r="H323" t="e">
        <f>H322-$E322</f>
        <v>#DIV/0!</v>
      </c>
      <c r="I323" t="e">
        <f>I322-$E322</f>
        <v>#DIV/0!</v>
      </c>
    </row>
    <row r="324" spans="1:9">
      <c r="B324" s="44"/>
    </row>
    <row r="325" spans="1:9">
      <c r="B325" s="44"/>
    </row>
    <row r="326" spans="1:9">
      <c r="B326" s="44"/>
    </row>
    <row r="327" spans="1:9">
      <c r="B327" s="44"/>
    </row>
    <row r="329" spans="1:9">
      <c r="A329" t="s">
        <v>65</v>
      </c>
      <c r="B329" s="44" t="s">
        <v>45</v>
      </c>
      <c r="C329" s="39" t="s">
        <v>54</v>
      </c>
      <c r="D329" s="39" t="s">
        <v>63</v>
      </c>
      <c r="E329" s="41" t="s">
        <v>50</v>
      </c>
      <c r="F329" s="130" t="s">
        <v>47</v>
      </c>
      <c r="G329" s="130"/>
      <c r="H329" s="130" t="s">
        <v>48</v>
      </c>
      <c r="I329" s="130"/>
    </row>
    <row r="330" spans="1:9">
      <c r="B330" s="44"/>
      <c r="C330" s="39" t="e">
        <f>SUM(B330:B335)/COUNT(B330:B335)</f>
        <v>#DIV/0!</v>
      </c>
      <c r="D330" s="39">
        <f>COUNT(B330:B335)</f>
        <v>0</v>
      </c>
      <c r="E330" s="55">
        <f>($B330-intercept)/slope</f>
        <v>-1.76945907657413</v>
      </c>
      <c r="F330" s="42" t="e">
        <f>$E330+(($E330-xmean)*gval_95-ABS((tval_95*svalue/slope))*SQRT(($E330-xmean)^2/S_xx+(Ndata+$D330)*(1-gval_95)/Ndata/$D330))/(1-gval_95)</f>
        <v>#DIV/0!</v>
      </c>
      <c r="G330" s="42" t="e">
        <f>$E330+(($E330-xmean)*gval_95+ABS((tval_95*svalue/slope))*SQRT(($E330-xmean)^2/S_xx+(Ndata+$D330)*(1-gval_95)/Ndata/$D330))/(1-gval_95)</f>
        <v>#DIV/0!</v>
      </c>
      <c r="H330" s="42" t="e">
        <f>$E330+(($E330-xmean)*gval_99-ABS((tval_99*svalue/slope))*SQRT(($E330-xmean)^2/S_xx+(Ndata+$D330)*(1-gval_99)/Ndata/$D330))/(1-gval_99)</f>
        <v>#DIV/0!</v>
      </c>
      <c r="I330" s="42" t="e">
        <f>$E330+(($E330-xmean)*gval_99+ABS((tval_99*svalue/slope))*SQRT(($E330-xmean)^2/S_xx+(Ndata+$D330)*(1-gval_99)/Ndata/$D330))/(1-gval_99)</f>
        <v>#DIV/0!</v>
      </c>
    </row>
    <row r="331" spans="1:9">
      <c r="B331" s="44"/>
      <c r="F331" t="e">
        <f>F330-$E330</f>
        <v>#DIV/0!</v>
      </c>
      <c r="G331" t="e">
        <f>G330-$E330</f>
        <v>#DIV/0!</v>
      </c>
      <c r="H331" t="e">
        <f>H330-$E330</f>
        <v>#DIV/0!</v>
      </c>
      <c r="I331" t="e">
        <f>I330-$E330</f>
        <v>#DIV/0!</v>
      </c>
    </row>
    <row r="332" spans="1:9">
      <c r="B332" s="44"/>
    </row>
    <row r="333" spans="1:9">
      <c r="B333" s="44"/>
    </row>
    <row r="334" spans="1:9">
      <c r="B334" s="44"/>
    </row>
    <row r="335" spans="1:9">
      <c r="B335" s="44"/>
    </row>
  </sheetData>
  <mergeCells count="84">
    <mergeCell ref="F313:G313"/>
    <mergeCell ref="H313:I313"/>
    <mergeCell ref="F321:G321"/>
    <mergeCell ref="H321:I321"/>
    <mergeCell ref="F329:G329"/>
    <mergeCell ref="H329:I329"/>
    <mergeCell ref="F289:G289"/>
    <mergeCell ref="H289:I289"/>
    <mergeCell ref="F297:G297"/>
    <mergeCell ref="H297:I297"/>
    <mergeCell ref="F305:G305"/>
    <mergeCell ref="H305:I305"/>
    <mergeCell ref="F265:G265"/>
    <mergeCell ref="H265:I265"/>
    <mergeCell ref="F273:G273"/>
    <mergeCell ref="H273:I273"/>
    <mergeCell ref="F281:G281"/>
    <mergeCell ref="H281:I281"/>
    <mergeCell ref="F241:G241"/>
    <mergeCell ref="H241:I241"/>
    <mergeCell ref="F249:G249"/>
    <mergeCell ref="H249:I249"/>
    <mergeCell ref="F257:G257"/>
    <mergeCell ref="H257:I257"/>
    <mergeCell ref="F217:G217"/>
    <mergeCell ref="H217:I217"/>
    <mergeCell ref="F225:G225"/>
    <mergeCell ref="H225:I225"/>
    <mergeCell ref="F233:G233"/>
    <mergeCell ref="H233:I233"/>
    <mergeCell ref="F193:G193"/>
    <mergeCell ref="H193:I193"/>
    <mergeCell ref="F201:G201"/>
    <mergeCell ref="H201:I201"/>
    <mergeCell ref="F209:G209"/>
    <mergeCell ref="H209:I209"/>
    <mergeCell ref="F169:G169"/>
    <mergeCell ref="H169:I169"/>
    <mergeCell ref="F177:G177"/>
    <mergeCell ref="H177:I177"/>
    <mergeCell ref="F185:G185"/>
    <mergeCell ref="H185:I185"/>
    <mergeCell ref="F145:G145"/>
    <mergeCell ref="H145:I145"/>
    <mergeCell ref="F153:G153"/>
    <mergeCell ref="H153:I153"/>
    <mergeCell ref="F161:G161"/>
    <mergeCell ref="H161:I161"/>
    <mergeCell ref="F121:G121"/>
    <mergeCell ref="H121:I121"/>
    <mergeCell ref="F129:G129"/>
    <mergeCell ref="H129:I129"/>
    <mergeCell ref="F137:G137"/>
    <mergeCell ref="H137:I137"/>
    <mergeCell ref="F97:G97"/>
    <mergeCell ref="H97:I97"/>
    <mergeCell ref="F105:G105"/>
    <mergeCell ref="H105:I105"/>
    <mergeCell ref="F113:G113"/>
    <mergeCell ref="H113:I113"/>
    <mergeCell ref="F73:G73"/>
    <mergeCell ref="H73:I73"/>
    <mergeCell ref="F81:G81"/>
    <mergeCell ref="H81:I81"/>
    <mergeCell ref="F89:G89"/>
    <mergeCell ref="H89:I89"/>
    <mergeCell ref="F49:G49"/>
    <mergeCell ref="H49:I49"/>
    <mergeCell ref="F57:G57"/>
    <mergeCell ref="H57:I57"/>
    <mergeCell ref="F65:G65"/>
    <mergeCell ref="H65:I65"/>
    <mergeCell ref="F25:G25"/>
    <mergeCell ref="H25:I25"/>
    <mergeCell ref="F33:G33"/>
    <mergeCell ref="H33:I33"/>
    <mergeCell ref="F41:G41"/>
    <mergeCell ref="H41:I41"/>
    <mergeCell ref="F1:G1"/>
    <mergeCell ref="H1:I1"/>
    <mergeCell ref="F9:G9"/>
    <mergeCell ref="H9:I9"/>
    <mergeCell ref="F17:G17"/>
    <mergeCell ref="H17:I17"/>
  </mergeCells>
  <phoneticPr fontId="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A55" sqref="A55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3">
      <c r="A1" s="2" t="s">
        <v>127</v>
      </c>
      <c r="E1" s="2" t="s">
        <v>126</v>
      </c>
    </row>
    <row r="3" spans="1:13">
      <c r="A3" s="2" t="s">
        <v>130</v>
      </c>
      <c r="B3" s="44" t="s">
        <v>45</v>
      </c>
      <c r="C3" s="39" t="s">
        <v>54</v>
      </c>
      <c r="D3" s="39" t="s">
        <v>63</v>
      </c>
      <c r="E3" s="41" t="s">
        <v>50</v>
      </c>
      <c r="F3" s="130" t="s">
        <v>47</v>
      </c>
      <c r="G3" s="130"/>
      <c r="H3" s="130" t="s">
        <v>48</v>
      </c>
      <c r="I3" s="130"/>
      <c r="K3" s="64" t="s">
        <v>128</v>
      </c>
      <c r="L3" s="64" t="s">
        <v>129</v>
      </c>
      <c r="M3" s="64"/>
    </row>
    <row r="4" spans="1:13">
      <c r="B4" s="44">
        <v>32.421599999999998</v>
      </c>
      <c r="C4" s="39">
        <f>SUM(B4:B9)/COUNT(B4:B15)</f>
        <v>32.905299999999997</v>
      </c>
      <c r="D4" s="39">
        <f>COUNT(B4:B15)</f>
        <v>3</v>
      </c>
      <c r="E4" s="55">
        <f>($C4-intercept)/slope</f>
        <v>5.1078981914111763</v>
      </c>
      <c r="F4" s="42">
        <f>$E4+(($E4-xmean)*gval_95-ABS((tval_95*svalue/slope))*SQRT(($E4-xmean)^2/S_xx+(Ndata+$D4)*(1-gval_95)/Ndata/$D4))/(1-gval_95)</f>
        <v>-4.6203483719714376</v>
      </c>
      <c r="G4" s="42">
        <f>$E4+(($E4-xmean)*gval_95+ABS((tval_95*svalue/slope))*SQRT(($E4-xmean)^2/S_xx+(Ndata+$D4)*(1-gval_95)/Ndata/$D4))/(1-gval_95)</f>
        <v>14.836144754793789</v>
      </c>
      <c r="H4" s="42">
        <f>$E4+(($E4-xmean)*gval_99-ABS((tval_99*svalue/slope))*SQRT(($E4-xmean)^2/S_xx+(Ndata+$D4)*(1-gval_99)/Ndata/$D4))/(1-gval_99)</f>
        <v>-7.5798081329444278</v>
      </c>
      <c r="I4" s="42">
        <f>$E4+(($E4-xmean)*gval_99+ABS((tval_99*svalue/slope))*SQRT(($E4-xmean)^2/S_xx+(Ndata+$D4)*(1-gval_99)/Ndata/$D4))/(1-gval_99)</f>
        <v>17.795604515766779</v>
      </c>
      <c r="K4" s="64">
        <f>STDEV(M4:M15)</f>
        <v>8.7558679588381316E-2</v>
      </c>
      <c r="L4" s="64">
        <f>COUNT(M4:M15)</f>
        <v>3</v>
      </c>
      <c r="M4" s="64">
        <f t="shared" ref="M4:M15" si="0">IF($B4&gt;0,($B4-intercept)/slope)</f>
        <v>5.0068026927977467</v>
      </c>
    </row>
    <row r="5" spans="1:13">
      <c r="B5" s="44">
        <v>33.1526</v>
      </c>
      <c r="F5">
        <f>F4-$E4</f>
        <v>-9.7282465633826138</v>
      </c>
      <c r="G5">
        <f>G4-$E4</f>
        <v>9.7282465633826121</v>
      </c>
      <c r="H5">
        <f>H4-$E4</f>
        <v>-12.687706324355604</v>
      </c>
      <c r="I5">
        <f>I4-$E4</f>
        <v>12.687706324355602</v>
      </c>
      <c r="K5" s="64"/>
      <c r="L5" s="64"/>
      <c r="M5" s="64">
        <f t="shared" si="0"/>
        <v>5.1595850154903609</v>
      </c>
    </row>
    <row r="6" spans="1:13">
      <c r="B6" s="44">
        <v>33.1417</v>
      </c>
      <c r="K6" s="64"/>
      <c r="L6" s="64"/>
      <c r="M6" s="64">
        <f t="shared" si="0"/>
        <v>5.1573068659454231</v>
      </c>
    </row>
    <row r="7" spans="1:13">
      <c r="B7" s="44"/>
      <c r="K7" s="64"/>
      <c r="L7" s="64"/>
      <c r="M7" s="64" t="b">
        <f t="shared" si="0"/>
        <v>0</v>
      </c>
    </row>
    <row r="8" spans="1:13">
      <c r="B8" s="44"/>
      <c r="K8" s="64"/>
      <c r="L8" s="64"/>
      <c r="M8" s="64" t="b">
        <f t="shared" si="0"/>
        <v>0</v>
      </c>
    </row>
    <row r="9" spans="1:13">
      <c r="B9" s="44"/>
      <c r="K9" s="64"/>
      <c r="L9" s="64"/>
      <c r="M9" s="64" t="b">
        <f t="shared" si="0"/>
        <v>0</v>
      </c>
    </row>
    <row r="10" spans="1:13">
      <c r="B10" s="44"/>
      <c r="K10" s="64"/>
      <c r="L10" s="64"/>
      <c r="M10" s="64" t="b">
        <f t="shared" si="0"/>
        <v>0</v>
      </c>
    </row>
    <row r="11" spans="1:13">
      <c r="B11" s="44"/>
      <c r="K11" s="64"/>
      <c r="L11" s="64"/>
      <c r="M11" s="64" t="b">
        <f t="shared" si="0"/>
        <v>0</v>
      </c>
    </row>
    <row r="12" spans="1:13">
      <c r="B12" s="44"/>
      <c r="K12" s="64"/>
      <c r="L12" s="64"/>
      <c r="M12" s="64" t="b">
        <f t="shared" si="0"/>
        <v>0</v>
      </c>
    </row>
    <row r="13" spans="1:13">
      <c r="B13" s="44"/>
      <c r="K13" s="64"/>
      <c r="L13" s="64"/>
      <c r="M13" s="64" t="b">
        <f t="shared" si="0"/>
        <v>0</v>
      </c>
    </row>
    <row r="14" spans="1:13">
      <c r="B14" s="44"/>
      <c r="K14" s="64"/>
      <c r="L14" s="64"/>
      <c r="M14" s="64" t="b">
        <f t="shared" si="0"/>
        <v>0</v>
      </c>
    </row>
    <row r="15" spans="1:13" ht="14" thickBot="1">
      <c r="B15" s="44"/>
      <c r="K15" s="64"/>
      <c r="L15" s="64"/>
      <c r="M15" s="64" t="b">
        <f t="shared" si="0"/>
        <v>0</v>
      </c>
    </row>
    <row r="16" spans="1:13" ht="14" thickBot="1">
      <c r="B16" s="65" t="s">
        <v>137</v>
      </c>
      <c r="C16" s="66"/>
      <c r="D16" s="66"/>
      <c r="E16" s="66"/>
      <c r="F16" s="67" t="s">
        <v>138</v>
      </c>
      <c r="G16" s="67" t="s">
        <v>139</v>
      </c>
      <c r="H16" s="67" t="s">
        <v>133</v>
      </c>
      <c r="I16" s="67" t="s">
        <v>136</v>
      </c>
      <c r="J16" s="67" t="s">
        <v>134</v>
      </c>
      <c r="K16" s="67" t="s">
        <v>135</v>
      </c>
      <c r="L16" s="67" t="s">
        <v>140</v>
      </c>
    </row>
    <row r="17" spans="1:13" ht="14" thickBot="1">
      <c r="B17" s="68"/>
      <c r="C17" s="69"/>
      <c r="D17" s="69"/>
      <c r="E17" s="69"/>
      <c r="F17" s="70">
        <f>ABS((E4-E20)/(L17*SQRT(1/L4+1/L20)))</f>
        <v>24.852265980838087</v>
      </c>
      <c r="G17" s="70">
        <f>TINV(0.05,K17)</f>
        <v>2.7764451051977934</v>
      </c>
      <c r="H17" s="71" t="str">
        <f>IF(F17&gt;G17,"Yes","No")</f>
        <v>Yes</v>
      </c>
      <c r="I17" s="72">
        <f>TINV(0.01,K17)</f>
        <v>4.604094871349993</v>
      </c>
      <c r="J17" s="71" t="str">
        <f>IF(F17&gt;I17,"Yes","No")</f>
        <v>Yes</v>
      </c>
      <c r="K17" s="73">
        <f>L4-1+L20-1</f>
        <v>4</v>
      </c>
      <c r="L17" s="74">
        <f>SQRT(K4^2*(L4-1)+K20^2*(L20-1))</f>
        <v>0.1246552169942502</v>
      </c>
    </row>
    <row r="19" spans="1:13">
      <c r="A19" s="2" t="s">
        <v>131</v>
      </c>
      <c r="B19" s="44" t="s">
        <v>45</v>
      </c>
      <c r="C19" s="39" t="s">
        <v>54</v>
      </c>
      <c r="D19" s="39" t="s">
        <v>63</v>
      </c>
      <c r="E19" s="41" t="s">
        <v>50</v>
      </c>
      <c r="F19" s="130" t="s">
        <v>47</v>
      </c>
      <c r="G19" s="130"/>
      <c r="H19" s="130" t="s">
        <v>48</v>
      </c>
      <c r="I19" s="130"/>
      <c r="K19" s="64" t="s">
        <v>128</v>
      </c>
      <c r="L19" s="64" t="s">
        <v>129</v>
      </c>
      <c r="M19" s="64"/>
    </row>
    <row r="20" spans="1:13">
      <c r="B20" s="44">
        <v>45.049900000000001</v>
      </c>
      <c r="C20" s="39">
        <f>SUM(B20:B25)/COUNT(B20:B31)</f>
        <v>45.007800000000003</v>
      </c>
      <c r="D20" s="39">
        <f>COUNT(B20:B31)</f>
        <v>3</v>
      </c>
      <c r="E20" s="55">
        <f>($C20-intercept)/slope</f>
        <v>7.6373757022009956</v>
      </c>
      <c r="F20" s="42">
        <f>$E20+(($E20-xmean)*gval_95-ABS((tval_95*svalue/slope))*SQRT(($E20-xmean)^2/S_xx+(Ndata+$D20)*(1-gval_95)/Ndata/$D20))/(1-gval_95)</f>
        <v>-2.0385183876353024</v>
      </c>
      <c r="G20" s="42">
        <f>$E20+(($E20-xmean)*gval_95+ABS((tval_95*svalue/slope))*SQRT(($E20-xmean)^2/S_xx+(Ndata+$D20)*(1-gval_95)/Ndata/$D20))/(1-gval_95)</f>
        <v>17.313269792037293</v>
      </c>
      <c r="H20" s="42">
        <f>$E20+(($E20-xmean)*gval_99-ABS((tval_99*svalue/slope))*SQRT(($E20-xmean)^2/S_xx+(Ndata+$D20)*(1-gval_99)/Ndata/$D20))/(1-gval_99)</f>
        <v>-4.9820518418644939</v>
      </c>
      <c r="I20" s="42">
        <f>$E20+(($E20-xmean)*gval_99+ABS((tval_99*svalue/slope))*SQRT(($E20-xmean)^2/S_xx+(Ndata+$D20)*(1-gval_99)/Ndata/$D20))/(1-gval_99)</f>
        <v>20.256803246266486</v>
      </c>
      <c r="K20" s="64">
        <f>STDEV(M20:M31)</f>
        <v>1.0145895262665539E-2</v>
      </c>
      <c r="L20" s="64">
        <f>COUNT(M20:M31)</f>
        <v>3</v>
      </c>
      <c r="M20" s="64">
        <f t="shared" ref="M20:M31" si="1">IF($B20&gt;0,($B20-intercept)/slope)</f>
        <v>7.6461747935626354</v>
      </c>
    </row>
    <row r="21" spans="1:13">
      <c r="B21" s="44">
        <v>45.018799999999999</v>
      </c>
      <c r="F21">
        <f>F20-$E20</f>
        <v>-9.675894089836298</v>
      </c>
      <c r="G21">
        <f>G20-$E20</f>
        <v>9.675894089836298</v>
      </c>
      <c r="H21">
        <f>H20-$E20</f>
        <v>-12.619427544065489</v>
      </c>
      <c r="I21">
        <f>I20-$E20</f>
        <v>12.619427544065491</v>
      </c>
      <c r="K21" s="64"/>
      <c r="L21" s="64"/>
      <c r="M21" s="64">
        <f t="shared" si="1"/>
        <v>7.6396747522004729</v>
      </c>
    </row>
    <row r="22" spans="1:13">
      <c r="B22" s="44">
        <v>44.954700000000003</v>
      </c>
      <c r="K22" s="64"/>
      <c r="L22" s="64"/>
      <c r="M22" s="64">
        <f t="shared" si="1"/>
        <v>7.6262775608398767</v>
      </c>
    </row>
    <row r="23" spans="1:13">
      <c r="B23" s="44"/>
      <c r="K23" s="64"/>
      <c r="L23" s="64"/>
      <c r="M23" s="64" t="b">
        <f t="shared" si="1"/>
        <v>0</v>
      </c>
    </row>
    <row r="24" spans="1:13">
      <c r="B24" s="44"/>
      <c r="K24" s="64"/>
      <c r="L24" s="64"/>
      <c r="M24" s="64" t="b">
        <f t="shared" si="1"/>
        <v>0</v>
      </c>
    </row>
    <row r="25" spans="1:13">
      <c r="B25" s="44"/>
      <c r="K25" s="64"/>
      <c r="L25" s="64"/>
      <c r="M25" s="64" t="b">
        <f t="shared" si="1"/>
        <v>0</v>
      </c>
    </row>
    <row r="26" spans="1:13">
      <c r="B26" s="44"/>
      <c r="K26" s="64"/>
      <c r="L26" s="64"/>
      <c r="M26" s="64" t="b">
        <f t="shared" si="1"/>
        <v>0</v>
      </c>
    </row>
    <row r="27" spans="1:13">
      <c r="B27" s="44"/>
      <c r="K27" s="64"/>
      <c r="L27" s="64"/>
      <c r="M27" s="64" t="b">
        <f t="shared" si="1"/>
        <v>0</v>
      </c>
    </row>
    <row r="28" spans="1:13">
      <c r="B28" s="44"/>
      <c r="K28" s="64"/>
      <c r="L28" s="64"/>
      <c r="M28" s="64" t="b">
        <f t="shared" si="1"/>
        <v>0</v>
      </c>
    </row>
    <row r="29" spans="1:13">
      <c r="B29" s="44"/>
      <c r="K29" s="64"/>
      <c r="L29" s="64"/>
      <c r="M29" s="64" t="b">
        <f t="shared" si="1"/>
        <v>0</v>
      </c>
    </row>
    <row r="30" spans="1:13">
      <c r="B30" s="44"/>
      <c r="K30" s="64"/>
      <c r="L30" s="64"/>
      <c r="M30" s="64" t="b">
        <f t="shared" si="1"/>
        <v>0</v>
      </c>
    </row>
    <row r="31" spans="1:13" ht="14" thickBot="1">
      <c r="B31" s="44"/>
      <c r="K31" s="64"/>
      <c r="L31" s="64"/>
      <c r="M31" s="64" t="b">
        <f t="shared" si="1"/>
        <v>0</v>
      </c>
    </row>
    <row r="32" spans="1:13" ht="14" thickBot="1">
      <c r="B32" s="65" t="s">
        <v>137</v>
      </c>
      <c r="C32" s="66"/>
      <c r="D32" s="66"/>
      <c r="E32" s="66"/>
      <c r="F32" s="67" t="s">
        <v>138</v>
      </c>
      <c r="G32" s="67" t="s">
        <v>139</v>
      </c>
      <c r="H32" s="67" t="s">
        <v>133</v>
      </c>
      <c r="I32" s="67" t="s">
        <v>136</v>
      </c>
      <c r="J32" s="67" t="s">
        <v>134</v>
      </c>
      <c r="K32" s="67" t="s">
        <v>135</v>
      </c>
      <c r="L32" s="67" t="s">
        <v>140</v>
      </c>
    </row>
    <row r="33" spans="1:13" ht="14" thickBot="1">
      <c r="B33" s="68"/>
      <c r="C33" s="69"/>
      <c r="D33" s="69"/>
      <c r="E33" s="69"/>
      <c r="F33" s="70">
        <f>ABS((E20-E36)/(L33*SQRT(1/L20+1/L36)))</f>
        <v>9.0628051698021874</v>
      </c>
      <c r="G33" s="70">
        <f>TINV(0.05,K33)</f>
        <v>2.7764451051977934</v>
      </c>
      <c r="H33" s="71" t="str">
        <f>IF(F33&gt;G33,"Yes","No")</f>
        <v>Yes</v>
      </c>
      <c r="I33" s="72">
        <f>TINV(0.01,K33)</f>
        <v>4.604094871349993</v>
      </c>
      <c r="J33" s="71" t="str">
        <f>IF(F33&gt;I33,"Yes","No")</f>
        <v>Yes</v>
      </c>
      <c r="K33" s="73">
        <f>L20-1+L36-1</f>
        <v>4</v>
      </c>
      <c r="L33" s="74">
        <f>SQRT(K20^2*(L20-1)+K36^2*(L36-1))</f>
        <v>1.0321127451055609</v>
      </c>
    </row>
    <row r="34" spans="1:13">
      <c r="E34" s="41" t="s">
        <v>50</v>
      </c>
      <c r="F34" s="130" t="s">
        <v>47</v>
      </c>
      <c r="G34" s="130"/>
    </row>
    <row r="35" spans="1:13">
      <c r="A35" s="2" t="s">
        <v>132</v>
      </c>
      <c r="B35" s="44" t="s">
        <v>45</v>
      </c>
      <c r="C35" s="39" t="s">
        <v>54</v>
      </c>
      <c r="D35" s="39" t="s">
        <v>63</v>
      </c>
      <c r="E35" s="55">
        <f>($C36-intercept)/slope</f>
        <v>9.7693823021718877</v>
      </c>
      <c r="F35" s="42">
        <f>$E35+(($E35-xmean)*gval_95-ABS((tval_95*svalue/slope))*SQRT(($E35-xmean)^2/S_xx+(Ndata+$D36)*(1-gval_95)/Ndata/$D36))/(1-gval_95)</f>
        <v>0.13276143554443998</v>
      </c>
      <c r="G35" s="42">
        <f>$E35+(($E35-xmean)*gval_95+ABS((tval_95*svalue/slope))*SQRT(($E35-xmean)^2/S_xx+(Ndata+$D36)*(1-gval_95)/Ndata/$D36))/(1-gval_95)</f>
        <v>19.406003168799337</v>
      </c>
      <c r="H35" s="130" t="s">
        <v>48</v>
      </c>
      <c r="I35" s="130"/>
      <c r="K35" s="64" t="s">
        <v>128</v>
      </c>
      <c r="L35" s="64" t="s">
        <v>129</v>
      </c>
      <c r="M35" s="64"/>
    </row>
    <row r="36" spans="1:13">
      <c r="B36" s="44">
        <v>57.200699999999998</v>
      </c>
      <c r="C36" s="39">
        <f>SUM(B36:B41)/COUNT(B36:B47)</f>
        <v>55.208566666666663</v>
      </c>
      <c r="D36" s="39">
        <f>COUNT(B36:B47)</f>
        <v>3</v>
      </c>
      <c r="F36">
        <f>F35-$E35</f>
        <v>-9.6366208666274478</v>
      </c>
      <c r="G36">
        <f>G35-$E35</f>
        <v>9.6366208666274495</v>
      </c>
      <c r="H36" s="42">
        <f>$E35+(($E35-xmean)*gval_99-ABS((tval_99*svalue/slope))*SQRT(($E35-xmean)^2/S_xx+(Ndata+$D36)*(1-gval_99)/Ndata/$D36))/(1-gval_99)</f>
        <v>-2.798824590850451</v>
      </c>
      <c r="I36" s="42">
        <f>$E35+(($E35-xmean)*gval_99+ABS((tval_99*svalue/slope))*SQRT(($E35-xmean)^2/S_xx+(Ndata+$D36)*(1-gval_99)/Ndata/$D36))/(1-gval_99)</f>
        <v>22.337589195194226</v>
      </c>
      <c r="K36" s="64">
        <f>STDEV(M36:M47)</f>
        <v>0.72974339333356575</v>
      </c>
      <c r="L36" s="64">
        <f>COUNT(M36:M47)</f>
        <v>3</v>
      </c>
      <c r="M36" s="64">
        <f t="shared" ref="M36:M47" si="2">IF($B36&gt;0,($B36-intercept)/slope)</f>
        <v>10.185747223895616</v>
      </c>
    </row>
    <row r="37" spans="1:13">
      <c r="B37" s="44">
        <v>57.247999999999998</v>
      </c>
      <c r="H37">
        <f>H36-$E35</f>
        <v>-12.568206893022339</v>
      </c>
      <c r="I37">
        <f>I36-$E35</f>
        <v>12.568206893022339</v>
      </c>
      <c r="K37" s="64"/>
      <c r="L37" s="64"/>
      <c r="M37" s="64">
        <f t="shared" si="2"/>
        <v>10.195633138893374</v>
      </c>
    </row>
    <row r="38" spans="1:13">
      <c r="B38" s="44">
        <v>51.177</v>
      </c>
      <c r="K38" s="64"/>
      <c r="L38" s="64"/>
      <c r="M38" s="64">
        <f t="shared" si="2"/>
        <v>8.926766543726675</v>
      </c>
    </row>
    <row r="39" spans="1:13">
      <c r="B39" s="44"/>
      <c r="K39" s="64"/>
      <c r="L39" s="64"/>
      <c r="M39" s="64" t="b">
        <f t="shared" si="2"/>
        <v>0</v>
      </c>
    </row>
    <row r="40" spans="1:13">
      <c r="B40" s="44"/>
      <c r="K40" s="64"/>
      <c r="L40" s="64"/>
      <c r="M40" s="64" t="b">
        <f t="shared" si="2"/>
        <v>0</v>
      </c>
    </row>
    <row r="41" spans="1:13">
      <c r="B41" s="44"/>
      <c r="K41" s="64"/>
      <c r="L41" s="64"/>
      <c r="M41" s="64" t="b">
        <f t="shared" si="2"/>
        <v>0</v>
      </c>
    </row>
    <row r="42" spans="1:13">
      <c r="B42" s="44"/>
      <c r="K42" s="64"/>
      <c r="L42" s="64"/>
      <c r="M42" s="64" t="b">
        <f t="shared" si="2"/>
        <v>0</v>
      </c>
    </row>
    <row r="43" spans="1:13">
      <c r="B43" s="44"/>
      <c r="K43" s="64"/>
      <c r="L43" s="64"/>
      <c r="M43" s="64" t="b">
        <f t="shared" si="2"/>
        <v>0</v>
      </c>
    </row>
    <row r="44" spans="1:13">
      <c r="B44" s="44"/>
      <c r="K44" s="64"/>
      <c r="L44" s="64"/>
      <c r="M44" s="64" t="b">
        <f t="shared" si="2"/>
        <v>0</v>
      </c>
    </row>
    <row r="45" spans="1:13">
      <c r="B45" s="44"/>
      <c r="K45" s="64"/>
      <c r="L45" s="64"/>
      <c r="M45" s="64" t="b">
        <f t="shared" si="2"/>
        <v>0</v>
      </c>
    </row>
    <row r="46" spans="1:13">
      <c r="B46" s="44"/>
      <c r="K46" s="64"/>
      <c r="L46" s="64"/>
      <c r="M46" s="64" t="b">
        <f t="shared" si="2"/>
        <v>0</v>
      </c>
    </row>
    <row r="47" spans="1:13">
      <c r="B47" s="44"/>
      <c r="K47" s="64"/>
      <c r="L47" s="64"/>
      <c r="M47" s="64" t="b">
        <f t="shared" si="2"/>
        <v>0</v>
      </c>
    </row>
    <row r="54" spans="1:16">
      <c r="E54" s="26"/>
      <c r="F54" s="26"/>
      <c r="G54" s="26"/>
    </row>
    <row r="55" spans="1:16">
      <c r="A55" s="26"/>
      <c r="B55" s="26"/>
      <c r="C55" s="26"/>
      <c r="D55" s="26"/>
      <c r="H55" s="26"/>
      <c r="I55" s="26"/>
      <c r="J55" s="26"/>
      <c r="K55" s="26"/>
      <c r="L55" s="26"/>
      <c r="M55" s="26"/>
      <c r="N55" s="26"/>
      <c r="O55" s="26"/>
      <c r="P55" s="26" t="s">
        <v>57</v>
      </c>
    </row>
  </sheetData>
  <mergeCells count="6">
    <mergeCell ref="F19:G19"/>
    <mergeCell ref="H19:I19"/>
    <mergeCell ref="F34:G34"/>
    <mergeCell ref="H35:I35"/>
    <mergeCell ref="F3:G3"/>
    <mergeCell ref="H3:I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zoomScaleNormal="100" workbookViewId="0">
      <selection activeCell="I16" sqref="I16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0">
      <c r="A1" s="1" t="s">
        <v>0</v>
      </c>
      <c r="B1" s="2" t="s">
        <v>124</v>
      </c>
      <c r="C1" s="2" t="s">
        <v>32</v>
      </c>
      <c r="D1" s="2"/>
      <c r="E1" s="2"/>
      <c r="F1" s="2"/>
      <c r="G1" s="2"/>
      <c r="H1" s="121" t="s">
        <v>94</v>
      </c>
      <c r="I1" s="128"/>
      <c r="J1" s="129"/>
    </row>
    <row r="2" spans="1:10">
      <c r="A2" s="18"/>
      <c r="B2" s="16" t="s">
        <v>2</v>
      </c>
      <c r="C2" s="16" t="s">
        <v>1</v>
      </c>
      <c r="D2" s="17" t="s">
        <v>93</v>
      </c>
      <c r="E2" s="4"/>
      <c r="F2" s="4"/>
      <c r="G2" s="4"/>
      <c r="H2" s="16" t="s">
        <v>95</v>
      </c>
      <c r="I2" s="16" t="s">
        <v>42</v>
      </c>
      <c r="J2" s="16" t="s">
        <v>43</v>
      </c>
    </row>
    <row r="3" spans="1:10">
      <c r="A3" s="2" t="s">
        <v>118</v>
      </c>
      <c r="B3" s="3"/>
      <c r="C3" s="19"/>
      <c r="D3" s="20"/>
      <c r="E3" s="21"/>
      <c r="F3" s="50"/>
      <c r="H3" s="39" t="e">
        <f>AVERAGE(D3:F3)</f>
        <v>#DIV/0!</v>
      </c>
      <c r="I3" s="39" t="e">
        <f>STDEV(D3:F3)</f>
        <v>#DIV/0!</v>
      </c>
      <c r="J3" s="40" t="e">
        <f>I3/H3*100</f>
        <v>#DIV/0!</v>
      </c>
    </row>
    <row r="4" spans="1:10">
      <c r="A4" s="2"/>
      <c r="B4" s="121" t="s">
        <v>41</v>
      </c>
      <c r="C4" s="123"/>
      <c r="D4" s="20">
        <v>1</v>
      </c>
      <c r="E4" s="21">
        <v>2</v>
      </c>
      <c r="F4" s="51">
        <v>3</v>
      </c>
    </row>
    <row r="5" spans="1:10">
      <c r="A5" s="2" t="s">
        <v>119</v>
      </c>
      <c r="B5" s="3">
        <v>3</v>
      </c>
      <c r="C5" s="19"/>
      <c r="D5" s="52"/>
      <c r="E5" s="52"/>
      <c r="F5" s="52"/>
      <c r="H5" s="39" t="e">
        <f>AVERAGE(D5:F5)</f>
        <v>#DIV/0!</v>
      </c>
      <c r="I5" s="39" t="e">
        <f>STDEV(D5:F5)</f>
        <v>#DIV/0!</v>
      </c>
      <c r="J5" s="40" t="e">
        <f>I5/H5*100</f>
        <v>#DIV/0!</v>
      </c>
    </row>
    <row r="6" spans="1:10">
      <c r="A6" s="2"/>
      <c r="B6" s="121" t="s">
        <v>41</v>
      </c>
      <c r="C6" s="123"/>
      <c r="D6" s="22">
        <v>4</v>
      </c>
      <c r="E6" s="23">
        <v>5</v>
      </c>
      <c r="F6" s="24">
        <v>6</v>
      </c>
    </row>
    <row r="7" spans="1:10">
      <c r="A7" s="2" t="s">
        <v>120</v>
      </c>
      <c r="B7" s="3">
        <v>3</v>
      </c>
      <c r="C7" s="19"/>
      <c r="D7" s="52"/>
      <c r="E7" s="52"/>
      <c r="F7" s="52"/>
      <c r="H7" s="39" t="e">
        <f>AVERAGE(D7:F7)</f>
        <v>#DIV/0!</v>
      </c>
      <c r="I7" s="39" t="e">
        <f>STDEV(D7:F7)</f>
        <v>#DIV/0!</v>
      </c>
      <c r="J7" s="40" t="e">
        <f>I7/H7*100</f>
        <v>#DIV/0!</v>
      </c>
    </row>
    <row r="8" spans="1:10">
      <c r="A8" s="2"/>
      <c r="B8" s="121" t="s">
        <v>41</v>
      </c>
      <c r="C8" s="123"/>
      <c r="D8" s="19">
        <v>7</v>
      </c>
      <c r="E8" s="19">
        <v>8</v>
      </c>
      <c r="F8" s="19">
        <v>9</v>
      </c>
    </row>
    <row r="9" spans="1:10" ht="42">
      <c r="A9" s="5" t="s">
        <v>121</v>
      </c>
      <c r="B9" s="6">
        <f>SUM(B3:B7)</f>
        <v>6</v>
      </c>
      <c r="C9" s="24" t="s">
        <v>122</v>
      </c>
      <c r="D9" s="24" t="s">
        <v>123</v>
      </c>
      <c r="E9" s="6"/>
      <c r="F9" s="6"/>
      <c r="G9" s="6"/>
      <c r="H9" s="6"/>
      <c r="I9" s="6"/>
    </row>
    <row r="10" spans="1:10">
      <c r="A10" s="5"/>
      <c r="B10" s="6"/>
      <c r="C10" s="25"/>
      <c r="D10" s="24"/>
      <c r="E10" s="6"/>
      <c r="F10" s="6"/>
      <c r="G10" s="6"/>
      <c r="H10" s="6"/>
      <c r="I10" s="6"/>
    </row>
    <row r="11" spans="1:10">
      <c r="A11" s="5"/>
      <c r="B11" s="6"/>
      <c r="C11" s="7"/>
      <c r="D11" s="117" t="s">
        <v>125</v>
      </c>
      <c r="E11" s="118"/>
      <c r="F11" s="6"/>
      <c r="G11" s="6" t="s">
        <v>141</v>
      </c>
      <c r="H11" s="6">
        <f>IF(COUNT(C3:F3)&gt;3,1,0)</f>
        <v>0</v>
      </c>
      <c r="I11" s="6"/>
    </row>
    <row r="12" spans="1:10">
      <c r="A12" s="2"/>
      <c r="B12" s="2"/>
      <c r="C12" s="11" t="s">
        <v>102</v>
      </c>
      <c r="D12" s="8">
        <v>0.95</v>
      </c>
      <c r="E12" s="8">
        <v>0.99</v>
      </c>
      <c r="F12" s="2"/>
      <c r="G12" s="2" t="s">
        <v>116</v>
      </c>
    </row>
    <row r="13" spans="1:10">
      <c r="A13" s="11" t="s">
        <v>103</v>
      </c>
      <c r="B13" s="14" t="e">
        <f>kS_xy/kS_xx</f>
        <v>#DIV/0!</v>
      </c>
      <c r="C13" s="12" t="e">
        <f>SQRT(kSsquare/S_xx)</f>
        <v>#DIV/0!</v>
      </c>
      <c r="D13" s="9" t="e">
        <f>$C13*tval_95</f>
        <v>#DIV/0!</v>
      </c>
      <c r="E13" s="9" t="e">
        <f>$C13*tval_99</f>
        <v>#DIV/0!</v>
      </c>
      <c r="F13" s="2"/>
      <c r="G13" t="str">
        <f>IF(H11&gt;0,IF(data_and_report!B21/kslope&lt;0.8,"Rekalibrering påkrævet",IF(data_and_report!B21/kslope&gt;1.25,"Rekalibrering påkrævet",kslope/data_and_report!B21)),"Not using control")</f>
        <v>Not using control</v>
      </c>
    </row>
    <row r="14" spans="1:10">
      <c r="A14" s="11" t="s">
        <v>117</v>
      </c>
      <c r="B14" s="14" t="e">
        <f>kymean-kslope*kxmean</f>
        <v>#DIV/0!</v>
      </c>
      <c r="C14" s="13" t="e">
        <f>sqrtsquare*SQRT(kSumxsquare/(kS_xx*kNdata))</f>
        <v>#DIV/0!</v>
      </c>
      <c r="D14" s="10" t="e">
        <f>$C14*tval_95</f>
        <v>#DIV/0!</v>
      </c>
      <c r="E14" s="10" t="e">
        <f>$C14*tval_99</f>
        <v>#DIV/0!</v>
      </c>
      <c r="F14" s="2"/>
      <c r="G14" t="s">
        <v>142</v>
      </c>
    </row>
    <row r="15" spans="1:10">
      <c r="A15" s="11" t="s">
        <v>3</v>
      </c>
      <c r="B15" s="15">
        <f>S_yyestd/S_yy</f>
        <v>0.96940299493542637</v>
      </c>
      <c r="C15" s="2"/>
      <c r="D15" s="2"/>
      <c r="E15" s="2"/>
      <c r="F15" s="2"/>
      <c r="G15">
        <v>0</v>
      </c>
    </row>
    <row r="16" spans="1:10">
      <c r="A16" s="11" t="s">
        <v>4</v>
      </c>
      <c r="B16" s="15">
        <f>SQRT(B15)</f>
        <v>0.98458265012919377</v>
      </c>
      <c r="C16" s="2"/>
      <c r="D16" s="2"/>
      <c r="E16" s="2"/>
      <c r="F16" s="2"/>
      <c r="G16" t="s">
        <v>89</v>
      </c>
      <c r="I16">
        <f>IF(G15&gt;0,responsfaktor*data_and_report!B21,data_and_report!B21)</f>
        <v>4.7845849383420909</v>
      </c>
    </row>
    <row r="17" spans="1:9">
      <c r="A17" s="119" t="s">
        <v>104</v>
      </c>
      <c r="B17" s="120"/>
      <c r="C17" s="121" t="s">
        <v>107</v>
      </c>
      <c r="D17" s="122"/>
      <c r="E17" s="123"/>
      <c r="F17" s="2"/>
    </row>
    <row r="18" spans="1:9">
      <c r="A18" s="11" t="s">
        <v>5</v>
      </c>
      <c r="B18" s="14" t="e">
        <f>kMS_reg/kSsquare</f>
        <v>#DIV/0!</v>
      </c>
      <c r="C18" s="121" t="e">
        <f>FDIST($B18,1,kdfree-2)</f>
        <v>#DIV/0!</v>
      </c>
      <c r="D18" s="122"/>
      <c r="E18" s="123"/>
      <c r="F18" s="2"/>
    </row>
    <row r="19" spans="1:9">
      <c r="A19" s="45"/>
      <c r="B19" s="46" t="s">
        <v>103</v>
      </c>
      <c r="C19" s="47"/>
      <c r="D19" s="46" t="s">
        <v>106</v>
      </c>
      <c r="E19" s="47"/>
      <c r="F19" s="2" t="s">
        <v>55</v>
      </c>
      <c r="G19" s="2"/>
      <c r="H19" s="2"/>
      <c r="I19" s="2"/>
    </row>
    <row r="20" spans="1:9">
      <c r="A20" s="9" t="s">
        <v>51</v>
      </c>
      <c r="B20" s="56" t="e">
        <f>10*ksqrtsquare/kslope</f>
        <v>#DIV/0!</v>
      </c>
      <c r="C20" s="48" t="s">
        <v>39</v>
      </c>
      <c r="D20" s="56" t="e">
        <f>H20*C3*I3/H3</f>
        <v>#DIV/0!</v>
      </c>
      <c r="E20" s="48" t="s">
        <v>39</v>
      </c>
      <c r="F20" s="115" t="s">
        <v>112</v>
      </c>
      <c r="G20" s="116"/>
      <c r="H20" s="6">
        <v>10</v>
      </c>
      <c r="I20" s="43" t="s">
        <v>111</v>
      </c>
    </row>
    <row r="21" spans="1:9">
      <c r="A21" s="10" t="s">
        <v>52</v>
      </c>
      <c r="B21" s="57" t="e">
        <f>3*ksqrtsquare/kslope</f>
        <v>#DIV/0!</v>
      </c>
      <c r="C21" s="49" t="s">
        <v>39</v>
      </c>
      <c r="D21" s="57" t="e">
        <f>H21*C3*I3/H3</f>
        <v>#DIV/0!</v>
      </c>
      <c r="E21" s="49" t="s">
        <v>39</v>
      </c>
      <c r="F21" s="115" t="s">
        <v>112</v>
      </c>
      <c r="G21" s="116"/>
      <c r="H21" s="6">
        <v>3.3</v>
      </c>
      <c r="I21" s="43" t="s">
        <v>111</v>
      </c>
    </row>
    <row r="76" spans="1:16">
      <c r="A76" s="26" t="s">
        <v>79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 t="s">
        <v>57</v>
      </c>
    </row>
    <row r="77" spans="1:16">
      <c r="A77" s="27" t="s">
        <v>6</v>
      </c>
      <c r="B77" s="27" t="s">
        <v>33</v>
      </c>
      <c r="C77" s="27" t="s">
        <v>7</v>
      </c>
      <c r="D77" s="27" t="s">
        <v>34</v>
      </c>
      <c r="E77" s="27" t="s">
        <v>8</v>
      </c>
      <c r="F77" s="27" t="s">
        <v>9</v>
      </c>
      <c r="G77" s="27" t="s">
        <v>13</v>
      </c>
      <c r="H77" s="27" t="s">
        <v>10</v>
      </c>
      <c r="I77" s="27" t="s">
        <v>14</v>
      </c>
      <c r="J77" s="28" t="s">
        <v>17</v>
      </c>
      <c r="K77" s="27" t="s">
        <v>35</v>
      </c>
      <c r="L77" s="27" t="s">
        <v>36</v>
      </c>
      <c r="M77" s="27" t="s">
        <v>16</v>
      </c>
      <c r="N77" s="27" t="s">
        <v>20</v>
      </c>
      <c r="O77" s="27" t="s">
        <v>41</v>
      </c>
      <c r="P77" s="27" t="s">
        <v>58</v>
      </c>
    </row>
    <row r="78" spans="1:16">
      <c r="A78" s="29">
        <f>kontrolX1</f>
        <v>0</v>
      </c>
      <c r="B78" s="26">
        <f>A78^2</f>
        <v>0</v>
      </c>
      <c r="C78" s="30">
        <f>_ky1</f>
        <v>0</v>
      </c>
      <c r="D78" s="30">
        <f>C78^2</f>
        <v>0</v>
      </c>
      <c r="E78" s="31">
        <f t="shared" ref="E78:E86" si="0">A78*C78</f>
        <v>0</v>
      </c>
      <c r="F78" s="32">
        <f t="shared" ref="F78:F86" si="1">A78-kxmean</f>
        <v>0</v>
      </c>
      <c r="G78" s="30">
        <f>F78^2</f>
        <v>0</v>
      </c>
      <c r="H78" s="32">
        <f t="shared" ref="H78:H86" si="2">C78-kymean</f>
        <v>0</v>
      </c>
      <c r="I78" s="30">
        <f t="shared" ref="I78:I86" si="3">H78^2</f>
        <v>0</v>
      </c>
      <c r="J78" s="32" t="e">
        <f t="shared" ref="J78:J86" si="4">A78*kslope+kintercept</f>
        <v>#DIV/0!</v>
      </c>
      <c r="K78" s="32" t="e">
        <f t="shared" ref="K78:K86" si="5">J78-kymean</f>
        <v>#DIV/0!</v>
      </c>
      <c r="L78" s="30" t="e">
        <f>K78^2</f>
        <v>#DIV/0!</v>
      </c>
      <c r="M78" s="29" t="e">
        <f>C78-J78</f>
        <v>#DIV/0!</v>
      </c>
      <c r="N78" s="26" t="e">
        <f>M78^2</f>
        <v>#DIV/0!</v>
      </c>
      <c r="O78" s="32">
        <f>D4</f>
        <v>1</v>
      </c>
      <c r="P78" s="32" t="e">
        <f>M78/A78</f>
        <v>#DIV/0!</v>
      </c>
    </row>
    <row r="79" spans="1:16">
      <c r="A79" s="29">
        <f>kontrolX1</f>
        <v>0</v>
      </c>
      <c r="B79" s="26">
        <f t="shared" ref="B79:B86" si="6">A79^2</f>
        <v>0</v>
      </c>
      <c r="C79" s="30">
        <f>_ky2</f>
        <v>0</v>
      </c>
      <c r="D79" s="30">
        <f t="shared" ref="D79:D86" si="7">C79^2</f>
        <v>0</v>
      </c>
      <c r="E79" s="31">
        <f t="shared" si="0"/>
        <v>0</v>
      </c>
      <c r="F79" s="31">
        <f t="shared" si="1"/>
        <v>0</v>
      </c>
      <c r="G79" s="30">
        <f t="shared" ref="G79:G86" si="8">F79^2</f>
        <v>0</v>
      </c>
      <c r="H79" s="31">
        <f t="shared" si="2"/>
        <v>0</v>
      </c>
      <c r="I79" s="30">
        <f t="shared" si="3"/>
        <v>0</v>
      </c>
      <c r="J79" s="31" t="e">
        <f t="shared" si="4"/>
        <v>#DIV/0!</v>
      </c>
      <c r="K79" s="31" t="e">
        <f t="shared" si="5"/>
        <v>#DIV/0!</v>
      </c>
      <c r="L79" s="30" t="e">
        <f t="shared" ref="L79:L86" si="9">K79^2</f>
        <v>#DIV/0!</v>
      </c>
      <c r="M79" s="29" t="e">
        <f t="shared" ref="M79:M86" si="10">C79-J79</f>
        <v>#DIV/0!</v>
      </c>
      <c r="N79" s="26" t="e">
        <f t="shared" ref="N79:N86" si="11">M79^2</f>
        <v>#DIV/0!</v>
      </c>
      <c r="O79" s="31">
        <f>E4</f>
        <v>2</v>
      </c>
      <c r="P79" s="31" t="e">
        <f t="shared" ref="P79:P86" si="12">M79/A79</f>
        <v>#DIV/0!</v>
      </c>
    </row>
    <row r="80" spans="1:16">
      <c r="A80" s="29">
        <f>kontrolX1</f>
        <v>0</v>
      </c>
      <c r="B80" s="26">
        <f t="shared" si="6"/>
        <v>0</v>
      </c>
      <c r="C80" s="30">
        <f>_ky3</f>
        <v>0</v>
      </c>
      <c r="D80" s="30">
        <f t="shared" si="7"/>
        <v>0</v>
      </c>
      <c r="E80" s="31">
        <f t="shared" si="0"/>
        <v>0</v>
      </c>
      <c r="F80" s="31">
        <f t="shared" si="1"/>
        <v>0</v>
      </c>
      <c r="G80" s="30">
        <f t="shared" si="8"/>
        <v>0</v>
      </c>
      <c r="H80" s="31">
        <f t="shared" si="2"/>
        <v>0</v>
      </c>
      <c r="I80" s="30">
        <f t="shared" si="3"/>
        <v>0</v>
      </c>
      <c r="J80" s="31" t="e">
        <f t="shared" si="4"/>
        <v>#DIV/0!</v>
      </c>
      <c r="K80" s="31" t="e">
        <f t="shared" si="5"/>
        <v>#DIV/0!</v>
      </c>
      <c r="L80" s="30" t="e">
        <f t="shared" si="9"/>
        <v>#DIV/0!</v>
      </c>
      <c r="M80" s="29" t="e">
        <f t="shared" si="10"/>
        <v>#DIV/0!</v>
      </c>
      <c r="N80" s="26" t="e">
        <f t="shared" si="11"/>
        <v>#DIV/0!</v>
      </c>
      <c r="O80" s="31">
        <f>F4</f>
        <v>3</v>
      </c>
      <c r="P80" s="31" t="e">
        <f t="shared" si="12"/>
        <v>#DIV/0!</v>
      </c>
    </row>
    <row r="81" spans="1:16">
      <c r="A81" s="29">
        <f>KontrolX2</f>
        <v>0</v>
      </c>
      <c r="B81" s="26">
        <f t="shared" si="6"/>
        <v>0</v>
      </c>
      <c r="C81" s="30">
        <f>_ky4</f>
        <v>0</v>
      </c>
      <c r="D81" s="30">
        <f t="shared" si="7"/>
        <v>0</v>
      </c>
      <c r="E81" s="31">
        <f t="shared" si="0"/>
        <v>0</v>
      </c>
      <c r="F81" s="31">
        <f t="shared" si="1"/>
        <v>0</v>
      </c>
      <c r="G81" s="30">
        <f t="shared" si="8"/>
        <v>0</v>
      </c>
      <c r="H81" s="31">
        <f t="shared" si="2"/>
        <v>0</v>
      </c>
      <c r="I81" s="30">
        <f t="shared" si="3"/>
        <v>0</v>
      </c>
      <c r="J81" s="31" t="e">
        <f t="shared" si="4"/>
        <v>#DIV/0!</v>
      </c>
      <c r="K81" s="31" t="e">
        <f t="shared" si="5"/>
        <v>#DIV/0!</v>
      </c>
      <c r="L81" s="30" t="e">
        <f t="shared" si="9"/>
        <v>#DIV/0!</v>
      </c>
      <c r="M81" s="29" t="e">
        <f t="shared" si="10"/>
        <v>#DIV/0!</v>
      </c>
      <c r="N81" s="26" t="e">
        <f t="shared" si="11"/>
        <v>#DIV/0!</v>
      </c>
      <c r="O81" s="32">
        <f>D6</f>
        <v>4</v>
      </c>
      <c r="P81" s="31" t="e">
        <f t="shared" si="12"/>
        <v>#DIV/0!</v>
      </c>
    </row>
    <row r="82" spans="1:16">
      <c r="A82" s="29">
        <f>KontrolX2</f>
        <v>0</v>
      </c>
      <c r="B82" s="26">
        <f t="shared" si="6"/>
        <v>0</v>
      </c>
      <c r="C82" s="30">
        <f>_ky5</f>
        <v>0</v>
      </c>
      <c r="D82" s="30">
        <f t="shared" si="7"/>
        <v>0</v>
      </c>
      <c r="E82" s="31">
        <f t="shared" si="0"/>
        <v>0</v>
      </c>
      <c r="F82" s="31">
        <f t="shared" si="1"/>
        <v>0</v>
      </c>
      <c r="G82" s="30">
        <f t="shared" si="8"/>
        <v>0</v>
      </c>
      <c r="H82" s="31">
        <f t="shared" si="2"/>
        <v>0</v>
      </c>
      <c r="I82" s="30">
        <f t="shared" si="3"/>
        <v>0</v>
      </c>
      <c r="J82" s="31" t="e">
        <f t="shared" si="4"/>
        <v>#DIV/0!</v>
      </c>
      <c r="K82" s="31" t="e">
        <f t="shared" si="5"/>
        <v>#DIV/0!</v>
      </c>
      <c r="L82" s="30" t="e">
        <f t="shared" si="9"/>
        <v>#DIV/0!</v>
      </c>
      <c r="M82" s="29" t="e">
        <f t="shared" si="10"/>
        <v>#DIV/0!</v>
      </c>
      <c r="N82" s="26" t="e">
        <f t="shared" si="11"/>
        <v>#DIV/0!</v>
      </c>
      <c r="O82" s="32">
        <f>E6</f>
        <v>5</v>
      </c>
      <c r="P82" s="31" t="e">
        <f t="shared" si="12"/>
        <v>#DIV/0!</v>
      </c>
    </row>
    <row r="83" spans="1:16">
      <c r="A83" s="29">
        <f>KontrolX2</f>
        <v>0</v>
      </c>
      <c r="B83" s="26">
        <f t="shared" si="6"/>
        <v>0</v>
      </c>
      <c r="C83" s="30">
        <f>_ky6</f>
        <v>0</v>
      </c>
      <c r="D83" s="30">
        <f t="shared" si="7"/>
        <v>0</v>
      </c>
      <c r="E83" s="31">
        <f t="shared" si="0"/>
        <v>0</v>
      </c>
      <c r="F83" s="31">
        <f t="shared" si="1"/>
        <v>0</v>
      </c>
      <c r="G83" s="30">
        <f t="shared" si="8"/>
        <v>0</v>
      </c>
      <c r="H83" s="31">
        <f t="shared" si="2"/>
        <v>0</v>
      </c>
      <c r="I83" s="30">
        <f t="shared" si="3"/>
        <v>0</v>
      </c>
      <c r="J83" s="31" t="e">
        <f t="shared" si="4"/>
        <v>#DIV/0!</v>
      </c>
      <c r="K83" s="31" t="e">
        <f t="shared" si="5"/>
        <v>#DIV/0!</v>
      </c>
      <c r="L83" s="30" t="e">
        <f t="shared" si="9"/>
        <v>#DIV/0!</v>
      </c>
      <c r="M83" s="29" t="e">
        <f t="shared" si="10"/>
        <v>#DIV/0!</v>
      </c>
      <c r="N83" s="26" t="e">
        <f t="shared" si="11"/>
        <v>#DIV/0!</v>
      </c>
      <c r="O83" s="31">
        <f>F6</f>
        <v>6</v>
      </c>
      <c r="P83" s="31" t="e">
        <f t="shared" si="12"/>
        <v>#DIV/0!</v>
      </c>
    </row>
    <row r="84" spans="1:16">
      <c r="A84" s="29">
        <f>KontrolX3</f>
        <v>0</v>
      </c>
      <c r="B84" s="26">
        <f t="shared" si="6"/>
        <v>0</v>
      </c>
      <c r="C84" s="30">
        <f>_ky7</f>
        <v>0</v>
      </c>
      <c r="D84" s="30">
        <f t="shared" si="7"/>
        <v>0</v>
      </c>
      <c r="E84" s="31">
        <f t="shared" si="0"/>
        <v>0</v>
      </c>
      <c r="F84" s="31">
        <f t="shared" si="1"/>
        <v>0</v>
      </c>
      <c r="G84" s="30">
        <f t="shared" si="8"/>
        <v>0</v>
      </c>
      <c r="H84" s="31">
        <f t="shared" si="2"/>
        <v>0</v>
      </c>
      <c r="I84" s="30">
        <f t="shared" si="3"/>
        <v>0</v>
      </c>
      <c r="J84" s="31" t="e">
        <f t="shared" si="4"/>
        <v>#DIV/0!</v>
      </c>
      <c r="K84" s="31" t="e">
        <f t="shared" si="5"/>
        <v>#DIV/0!</v>
      </c>
      <c r="L84" s="30" t="e">
        <f t="shared" si="9"/>
        <v>#DIV/0!</v>
      </c>
      <c r="M84" s="29" t="e">
        <f t="shared" si="10"/>
        <v>#DIV/0!</v>
      </c>
      <c r="N84" s="26" t="e">
        <f t="shared" si="11"/>
        <v>#DIV/0!</v>
      </c>
      <c r="O84" s="31">
        <f>D8</f>
        <v>7</v>
      </c>
      <c r="P84" s="31" t="e">
        <f t="shared" si="12"/>
        <v>#DIV/0!</v>
      </c>
    </row>
    <row r="85" spans="1:16">
      <c r="A85" s="29">
        <f>KontrolX3</f>
        <v>0</v>
      </c>
      <c r="B85" s="26">
        <f t="shared" si="6"/>
        <v>0</v>
      </c>
      <c r="C85" s="30">
        <f>_ky8</f>
        <v>0</v>
      </c>
      <c r="D85" s="30">
        <f t="shared" si="7"/>
        <v>0</v>
      </c>
      <c r="E85" s="31">
        <f t="shared" si="0"/>
        <v>0</v>
      </c>
      <c r="F85" s="31">
        <f t="shared" si="1"/>
        <v>0</v>
      </c>
      <c r="G85" s="30">
        <f t="shared" si="8"/>
        <v>0</v>
      </c>
      <c r="H85" s="31">
        <f t="shared" si="2"/>
        <v>0</v>
      </c>
      <c r="I85" s="30">
        <f t="shared" si="3"/>
        <v>0</v>
      </c>
      <c r="J85" s="31" t="e">
        <f t="shared" si="4"/>
        <v>#DIV/0!</v>
      </c>
      <c r="K85" s="31" t="e">
        <f t="shared" si="5"/>
        <v>#DIV/0!</v>
      </c>
      <c r="L85" s="30" t="e">
        <f t="shared" si="9"/>
        <v>#DIV/0!</v>
      </c>
      <c r="M85" s="29" t="e">
        <f t="shared" si="10"/>
        <v>#DIV/0!</v>
      </c>
      <c r="N85" s="26" t="e">
        <f t="shared" si="11"/>
        <v>#DIV/0!</v>
      </c>
      <c r="O85" s="31">
        <f>E8</f>
        <v>8</v>
      </c>
      <c r="P85" s="31" t="e">
        <f t="shared" si="12"/>
        <v>#DIV/0!</v>
      </c>
    </row>
    <row r="86" spans="1:16">
      <c r="A86" s="29">
        <f>KontrolX3</f>
        <v>0</v>
      </c>
      <c r="B86" s="26">
        <f t="shared" si="6"/>
        <v>0</v>
      </c>
      <c r="C86" s="34">
        <f>_ky9</f>
        <v>0</v>
      </c>
      <c r="D86" s="30">
        <f t="shared" si="7"/>
        <v>0</v>
      </c>
      <c r="E86" s="35">
        <f t="shared" si="0"/>
        <v>0</v>
      </c>
      <c r="F86" s="35">
        <f t="shared" si="1"/>
        <v>0</v>
      </c>
      <c r="G86" s="34">
        <f t="shared" si="8"/>
        <v>0</v>
      </c>
      <c r="H86" s="35">
        <f t="shared" si="2"/>
        <v>0</v>
      </c>
      <c r="I86" s="34">
        <f t="shared" si="3"/>
        <v>0</v>
      </c>
      <c r="J86" s="35" t="e">
        <f t="shared" si="4"/>
        <v>#DIV/0!</v>
      </c>
      <c r="K86" s="35" t="e">
        <f t="shared" si="5"/>
        <v>#DIV/0!</v>
      </c>
      <c r="L86" s="34" t="e">
        <f t="shared" si="9"/>
        <v>#DIV/0!</v>
      </c>
      <c r="M86" s="33" t="e">
        <f t="shared" si="10"/>
        <v>#DIV/0!</v>
      </c>
      <c r="N86" s="36" t="e">
        <f t="shared" si="11"/>
        <v>#DIV/0!</v>
      </c>
      <c r="O86" s="35">
        <f>F8</f>
        <v>9</v>
      </c>
      <c r="P86" s="35" t="e">
        <f t="shared" si="12"/>
        <v>#DIV/0!</v>
      </c>
    </row>
    <row r="87" spans="1:16">
      <c r="A87" s="37">
        <f>AVERAGE(A78:A86)</f>
        <v>0</v>
      </c>
      <c r="B87" s="37"/>
      <c r="C87" s="37">
        <f>AVERAGE(C78:C86)</f>
        <v>0</v>
      </c>
      <c r="D87" s="37"/>
      <c r="E87" s="37">
        <f>AVERAGE(E78:E86)</f>
        <v>0</v>
      </c>
      <c r="F87" s="26"/>
      <c r="G87" s="26"/>
      <c r="H87" s="26"/>
      <c r="I87" s="26"/>
      <c r="J87" s="26" t="e">
        <f>AVERAGE(J78:J86)</f>
        <v>#DIV/0!</v>
      </c>
      <c r="K87" s="26"/>
      <c r="L87" s="26"/>
      <c r="M87" s="26"/>
      <c r="N87" s="26"/>
      <c r="O87" s="26"/>
      <c r="P87" s="26"/>
    </row>
    <row r="88" spans="1:16">
      <c r="A88" s="26">
        <f>COUNT(A78:A86)</f>
        <v>9</v>
      </c>
      <c r="B88" s="26"/>
      <c r="C88" s="26"/>
      <c r="D88" s="26"/>
      <c r="E88" s="26"/>
      <c r="F88" s="26"/>
      <c r="G88" s="26"/>
      <c r="H88" s="26" t="s">
        <v>87</v>
      </c>
      <c r="I88" s="26">
        <f>A78</f>
        <v>0</v>
      </c>
      <c r="J88" s="26"/>
      <c r="K88" s="26"/>
      <c r="L88" s="26"/>
      <c r="M88" s="26"/>
      <c r="N88" s="26"/>
      <c r="O88" s="26"/>
      <c r="P88" s="26"/>
    </row>
    <row r="89" spans="1:16">
      <c r="A89" s="26" t="s">
        <v>78</v>
      </c>
      <c r="B89" s="26">
        <f>COUNT(A78:A86)-2</f>
        <v>7</v>
      </c>
      <c r="C89" s="26" t="s">
        <v>84</v>
      </c>
      <c r="D89" s="26">
        <f>TINV(0.025,kdfree)</f>
        <v>2.8412442485882088</v>
      </c>
      <c r="E89" s="26"/>
      <c r="F89" s="26"/>
      <c r="G89" s="26"/>
      <c r="H89" s="26" t="s">
        <v>88</v>
      </c>
      <c r="I89" s="26">
        <f>A86</f>
        <v>0</v>
      </c>
      <c r="J89" s="26"/>
      <c r="K89" s="26"/>
      <c r="L89" s="26"/>
      <c r="M89" s="26"/>
      <c r="N89" s="26"/>
      <c r="O89" s="26"/>
      <c r="P89" s="26"/>
    </row>
    <row r="90" spans="1:16">
      <c r="A90" s="26" t="s">
        <v>66</v>
      </c>
      <c r="B90" s="26">
        <f>SUM(E78:E86)-kNdata*kymean*kxmean</f>
        <v>0</v>
      </c>
      <c r="C90" s="26" t="s">
        <v>85</v>
      </c>
      <c r="D90" s="26">
        <f>TINV(0.005,kdfree)</f>
        <v>4.0293371776424847</v>
      </c>
      <c r="E90" s="26"/>
      <c r="F90" s="26"/>
      <c r="G90" s="26"/>
      <c r="H90" s="26" t="s">
        <v>26</v>
      </c>
      <c r="I90" s="26" t="s">
        <v>30</v>
      </c>
      <c r="J90" s="26" t="s">
        <v>31</v>
      </c>
      <c r="K90" s="26" t="s">
        <v>37</v>
      </c>
      <c r="L90" s="26" t="s">
        <v>38</v>
      </c>
      <c r="M90" s="26"/>
      <c r="N90" s="26"/>
      <c r="O90" s="26"/>
      <c r="P90" s="26"/>
    </row>
    <row r="91" spans="1:16">
      <c r="A91" s="26" t="s">
        <v>67</v>
      </c>
      <c r="B91" s="26">
        <f>SUM(G78:G86)</f>
        <v>0</v>
      </c>
      <c r="C91" s="26"/>
      <c r="D91" s="26"/>
      <c r="E91" s="26"/>
      <c r="F91" s="26"/>
      <c r="G91" s="26"/>
      <c r="H91" s="26">
        <f>kXstart</f>
        <v>0</v>
      </c>
      <c r="I91" s="26" t="e">
        <f t="shared" ref="I91:I122" si="13">kslope*$H91+kintercept-ktval_95*ksqrtsquare*SQRT(1+1/kNdata+($H91-kxmean)^2/kS_xx)</f>
        <v>#DIV/0!</v>
      </c>
      <c r="J91" s="26" t="e">
        <f t="shared" ref="J91:J122" si="14">slope*$H91+kintercept+ktval_95*ksqrtsquare*SQRT(1+1/kNdata+($H91-kxmean)^2/kS_xx)</f>
        <v>#DIV/0!</v>
      </c>
      <c r="K91" s="26" t="e">
        <f t="shared" ref="K91:K122" si="15">kslope*$H91+kintercept-ktval_99*ksqrtsquare*SQRT(1+1/kNdata+($H91-kxmean)^2/kS_xx)</f>
        <v>#DIV/0!</v>
      </c>
      <c r="L91" s="26" t="e">
        <f t="shared" ref="L91:L122" si="16">slope*$H91+kintercept+ktval_99*ksqrtsquare*SQRT(1+1/kNdata+($H91-kxmean)^2/kS_xx)</f>
        <v>#DIV/0!</v>
      </c>
      <c r="M91" s="26"/>
      <c r="N91" s="26"/>
      <c r="O91" s="26"/>
      <c r="P91" s="26"/>
    </row>
    <row r="92" spans="1:16">
      <c r="A92" s="26" t="s">
        <v>68</v>
      </c>
      <c r="B92" s="26">
        <f>SUM(I78:I86)</f>
        <v>0</v>
      </c>
      <c r="C92" s="26"/>
      <c r="D92" s="26"/>
      <c r="E92" s="26"/>
      <c r="F92" s="26"/>
      <c r="G92" s="26"/>
      <c r="H92" s="26">
        <f t="shared" ref="H92:H123" si="17">H91+(kXstop-kXstart)/50</f>
        <v>0</v>
      </c>
      <c r="I92" s="26" t="e">
        <f t="shared" si="13"/>
        <v>#DIV/0!</v>
      </c>
      <c r="J92" s="26" t="e">
        <f t="shared" si="14"/>
        <v>#DIV/0!</v>
      </c>
      <c r="K92" s="26" t="e">
        <f t="shared" si="15"/>
        <v>#DIV/0!</v>
      </c>
      <c r="L92" s="26" t="e">
        <f t="shared" si="16"/>
        <v>#DIV/0!</v>
      </c>
      <c r="M92" s="26"/>
      <c r="N92" s="26"/>
      <c r="O92" s="26"/>
      <c r="P92" s="26"/>
    </row>
    <row r="93" spans="1:16">
      <c r="A93" s="26" t="s">
        <v>69</v>
      </c>
      <c r="B93" s="26" t="e">
        <f>SUM(L78:L86)</f>
        <v>#DIV/0!</v>
      </c>
      <c r="C93" s="38" t="s">
        <v>86</v>
      </c>
      <c r="D93" s="26"/>
      <c r="E93" s="26"/>
      <c r="F93" s="26"/>
      <c r="G93" s="26"/>
      <c r="H93" s="26">
        <f t="shared" si="17"/>
        <v>0</v>
      </c>
      <c r="I93" s="26" t="e">
        <f t="shared" si="13"/>
        <v>#DIV/0!</v>
      </c>
      <c r="J93" s="26" t="e">
        <f t="shared" si="14"/>
        <v>#DIV/0!</v>
      </c>
      <c r="K93" s="26" t="e">
        <f t="shared" si="15"/>
        <v>#DIV/0!</v>
      </c>
      <c r="L93" s="26" t="e">
        <f t="shared" si="16"/>
        <v>#DIV/0!</v>
      </c>
      <c r="M93" s="26"/>
      <c r="N93" s="26"/>
      <c r="O93" s="26"/>
      <c r="P93" s="26"/>
    </row>
    <row r="94" spans="1:16">
      <c r="A94" s="26" t="s">
        <v>70</v>
      </c>
      <c r="B94" s="26" t="e">
        <f>SUM(N78:N86)</f>
        <v>#DIV/0!</v>
      </c>
      <c r="C94" s="26"/>
      <c r="D94" s="26"/>
      <c r="E94" s="26"/>
      <c r="F94" s="26"/>
      <c r="G94" s="26"/>
      <c r="H94" s="26">
        <f t="shared" si="17"/>
        <v>0</v>
      </c>
      <c r="I94" s="26" t="e">
        <f t="shared" si="13"/>
        <v>#DIV/0!</v>
      </c>
      <c r="J94" s="26" t="e">
        <f t="shared" si="14"/>
        <v>#DIV/0!</v>
      </c>
      <c r="K94" s="26" t="e">
        <f t="shared" si="15"/>
        <v>#DIV/0!</v>
      </c>
      <c r="L94" s="26" t="e">
        <f t="shared" si="16"/>
        <v>#DIV/0!</v>
      </c>
      <c r="M94" s="26"/>
      <c r="N94" s="26"/>
      <c r="O94" s="26"/>
      <c r="P94" s="26"/>
    </row>
    <row r="95" spans="1:16">
      <c r="A95" s="26" t="s">
        <v>71</v>
      </c>
      <c r="B95" s="26" t="e">
        <f>kSumSquares/(kNdata-2)</f>
        <v>#DIV/0!</v>
      </c>
      <c r="C95" s="26" t="s">
        <v>77</v>
      </c>
      <c r="D95" s="26" t="e">
        <f>SQRT(B95)</f>
        <v>#DIV/0!</v>
      </c>
      <c r="E95" s="26"/>
      <c r="F95" s="26"/>
      <c r="G95" s="26"/>
      <c r="H95" s="26">
        <f t="shared" si="17"/>
        <v>0</v>
      </c>
      <c r="I95" s="26" t="e">
        <f t="shared" si="13"/>
        <v>#DIV/0!</v>
      </c>
      <c r="J95" s="26" t="e">
        <f t="shared" si="14"/>
        <v>#DIV/0!</v>
      </c>
      <c r="K95" s="26" t="e">
        <f t="shared" si="15"/>
        <v>#DIV/0!</v>
      </c>
      <c r="L95" s="26" t="e">
        <f t="shared" si="16"/>
        <v>#DIV/0!</v>
      </c>
      <c r="M95" s="26"/>
      <c r="N95" s="26"/>
      <c r="O95" s="26"/>
      <c r="P95" s="26"/>
    </row>
    <row r="96" spans="1:16">
      <c r="A96" s="26" t="s">
        <v>72</v>
      </c>
      <c r="B96" s="26" t="e">
        <f>SQRT(B95)</f>
        <v>#DIV/0!</v>
      </c>
      <c r="C96" s="26"/>
      <c r="D96" s="26"/>
      <c r="E96" s="26"/>
      <c r="F96" s="26"/>
      <c r="G96" s="26"/>
      <c r="H96" s="26">
        <f t="shared" si="17"/>
        <v>0</v>
      </c>
      <c r="I96" s="26" t="e">
        <f t="shared" si="13"/>
        <v>#DIV/0!</v>
      </c>
      <c r="J96" s="26" t="e">
        <f t="shared" si="14"/>
        <v>#DIV/0!</v>
      </c>
      <c r="K96" s="26" t="e">
        <f t="shared" si="15"/>
        <v>#DIV/0!</v>
      </c>
      <c r="L96" s="26" t="e">
        <f t="shared" si="16"/>
        <v>#DIV/0!</v>
      </c>
      <c r="M96" s="26"/>
      <c r="N96" s="26"/>
      <c r="O96" s="26"/>
      <c r="P96" s="26"/>
    </row>
    <row r="97" spans="1:16">
      <c r="A97" s="26" t="s">
        <v>73</v>
      </c>
      <c r="B97" s="26">
        <f>SUM(B78:B86)</f>
        <v>0</v>
      </c>
      <c r="C97" s="26"/>
      <c r="D97" s="26"/>
      <c r="E97" s="26"/>
      <c r="F97" s="26"/>
      <c r="G97" s="26"/>
      <c r="H97" s="26">
        <f t="shared" si="17"/>
        <v>0</v>
      </c>
      <c r="I97" s="26" t="e">
        <f t="shared" si="13"/>
        <v>#DIV/0!</v>
      </c>
      <c r="J97" s="26" t="e">
        <f t="shared" si="14"/>
        <v>#DIV/0!</v>
      </c>
      <c r="K97" s="26" t="e">
        <f t="shared" si="15"/>
        <v>#DIV/0!</v>
      </c>
      <c r="L97" s="26" t="e">
        <f t="shared" si="16"/>
        <v>#DIV/0!</v>
      </c>
      <c r="M97" s="26"/>
      <c r="N97" s="26"/>
      <c r="O97" s="26"/>
      <c r="P97" s="26"/>
    </row>
    <row r="98" spans="1:16">
      <c r="A98" s="26" t="s">
        <v>74</v>
      </c>
      <c r="B98" s="26">
        <f>SUM(D78:D86)</f>
        <v>0</v>
      </c>
      <c r="C98" s="26"/>
      <c r="D98" s="26"/>
      <c r="E98" s="26"/>
      <c r="F98" s="26"/>
      <c r="G98" s="26"/>
      <c r="H98" s="26">
        <f t="shared" si="17"/>
        <v>0</v>
      </c>
      <c r="I98" s="26" t="e">
        <f t="shared" si="13"/>
        <v>#DIV/0!</v>
      </c>
      <c r="J98" s="26" t="e">
        <f t="shared" si="14"/>
        <v>#DIV/0!</v>
      </c>
      <c r="K98" s="26" t="e">
        <f t="shared" si="15"/>
        <v>#DIV/0!</v>
      </c>
      <c r="L98" s="26" t="e">
        <f t="shared" si="16"/>
        <v>#DIV/0!</v>
      </c>
      <c r="M98" s="26"/>
      <c r="N98" s="26"/>
      <c r="O98" s="26"/>
      <c r="P98" s="26"/>
    </row>
    <row r="99" spans="1:16">
      <c r="A99" s="26" t="s">
        <v>75</v>
      </c>
      <c r="B99" s="26" t="e">
        <f>ktval_95^2*ksvalue^2*kS_xx/kslope^2</f>
        <v>#DIV/0!</v>
      </c>
      <c r="C99" s="26"/>
      <c r="D99" s="26"/>
      <c r="E99" s="26"/>
      <c r="F99" s="26"/>
      <c r="G99" s="26"/>
      <c r="H99" s="26">
        <f t="shared" si="17"/>
        <v>0</v>
      </c>
      <c r="I99" s="26" t="e">
        <f t="shared" si="13"/>
        <v>#DIV/0!</v>
      </c>
      <c r="J99" s="26" t="e">
        <f t="shared" si="14"/>
        <v>#DIV/0!</v>
      </c>
      <c r="K99" s="26" t="e">
        <f t="shared" si="15"/>
        <v>#DIV/0!</v>
      </c>
      <c r="L99" s="26" t="e">
        <f t="shared" si="16"/>
        <v>#DIV/0!</v>
      </c>
      <c r="M99" s="26"/>
      <c r="N99" s="26"/>
      <c r="O99" s="26"/>
      <c r="P99" s="26"/>
    </row>
    <row r="100" spans="1:16">
      <c r="A100" s="26" t="s">
        <v>76</v>
      </c>
      <c r="B100" s="26" t="e">
        <f>ktval_99^2*ksvalue^2*kS_xx/kslope^2</f>
        <v>#DIV/0!</v>
      </c>
      <c r="C100" s="26"/>
      <c r="D100" s="26"/>
      <c r="E100" s="26"/>
      <c r="F100" s="26"/>
      <c r="G100" s="26"/>
      <c r="H100" s="26">
        <f t="shared" si="17"/>
        <v>0</v>
      </c>
      <c r="I100" s="26" t="e">
        <f t="shared" si="13"/>
        <v>#DIV/0!</v>
      </c>
      <c r="J100" s="26" t="e">
        <f t="shared" si="14"/>
        <v>#DIV/0!</v>
      </c>
      <c r="K100" s="26" t="e">
        <f t="shared" si="15"/>
        <v>#DIV/0!</v>
      </c>
      <c r="L100" s="26" t="e">
        <f t="shared" si="16"/>
        <v>#DIV/0!</v>
      </c>
      <c r="M100" s="26"/>
      <c r="N100" s="26"/>
      <c r="O100" s="26"/>
      <c r="P100" s="26"/>
    </row>
    <row r="101" spans="1:16">
      <c r="A101" s="26"/>
      <c r="B101" s="26"/>
      <c r="C101" s="26"/>
      <c r="D101" s="26"/>
      <c r="E101" s="26"/>
      <c r="F101" s="26"/>
      <c r="G101" s="26"/>
      <c r="H101" s="26">
        <f t="shared" si="17"/>
        <v>0</v>
      </c>
      <c r="I101" s="26" t="e">
        <f t="shared" si="13"/>
        <v>#DIV/0!</v>
      </c>
      <c r="J101" s="26" t="e">
        <f t="shared" si="14"/>
        <v>#DIV/0!</v>
      </c>
      <c r="K101" s="26" t="e">
        <f t="shared" si="15"/>
        <v>#DIV/0!</v>
      </c>
      <c r="L101" s="26" t="e">
        <f t="shared" si="16"/>
        <v>#DIV/0!</v>
      </c>
      <c r="M101" s="26"/>
      <c r="N101" s="26"/>
      <c r="O101" s="26"/>
      <c r="P101" s="26"/>
    </row>
    <row r="102" spans="1:16">
      <c r="A102" s="26" t="s">
        <v>44</v>
      </c>
      <c r="B102" s="26"/>
      <c r="C102" s="26"/>
      <c r="D102" s="26"/>
      <c r="E102" s="26"/>
      <c r="F102" s="26"/>
      <c r="G102" s="26"/>
      <c r="H102" s="26">
        <f t="shared" si="17"/>
        <v>0</v>
      </c>
      <c r="I102" s="26" t="e">
        <f t="shared" si="13"/>
        <v>#DIV/0!</v>
      </c>
      <c r="J102" s="26" t="e">
        <f t="shared" si="14"/>
        <v>#DIV/0!</v>
      </c>
      <c r="K102" s="26" t="e">
        <f t="shared" si="15"/>
        <v>#DIV/0!</v>
      </c>
      <c r="L102" s="26" t="e">
        <f t="shared" si="16"/>
        <v>#DIV/0!</v>
      </c>
      <c r="M102" s="26"/>
      <c r="N102" s="26"/>
      <c r="O102" s="26"/>
      <c r="P102" s="26"/>
    </row>
    <row r="103" spans="1:16">
      <c r="A103" s="26" t="s">
        <v>45</v>
      </c>
      <c r="B103" s="26"/>
      <c r="C103" s="26"/>
      <c r="D103" s="26"/>
      <c r="E103" s="26"/>
      <c r="F103" s="26"/>
      <c r="G103" s="26"/>
      <c r="H103" s="26">
        <f t="shared" si="17"/>
        <v>0</v>
      </c>
      <c r="I103" s="26" t="e">
        <f t="shared" si="13"/>
        <v>#DIV/0!</v>
      </c>
      <c r="J103" s="26" t="e">
        <f t="shared" si="14"/>
        <v>#DIV/0!</v>
      </c>
      <c r="K103" s="26" t="e">
        <f t="shared" si="15"/>
        <v>#DIV/0!</v>
      </c>
      <c r="L103" s="26" t="e">
        <f t="shared" si="16"/>
        <v>#DIV/0!</v>
      </c>
      <c r="M103" s="26"/>
      <c r="N103" s="26"/>
      <c r="O103" s="26"/>
      <c r="P103" s="26"/>
    </row>
    <row r="104" spans="1:16">
      <c r="A104" s="26" t="s">
        <v>46</v>
      </c>
      <c r="B104" s="26"/>
      <c r="C104" s="26"/>
      <c r="D104" s="26"/>
      <c r="E104" s="26"/>
      <c r="F104" s="26"/>
      <c r="G104" s="26"/>
      <c r="H104" s="26">
        <f t="shared" si="17"/>
        <v>0</v>
      </c>
      <c r="I104" s="26" t="e">
        <f t="shared" si="13"/>
        <v>#DIV/0!</v>
      </c>
      <c r="J104" s="26" t="e">
        <f t="shared" si="14"/>
        <v>#DIV/0!</v>
      </c>
      <c r="K104" s="26" t="e">
        <f t="shared" si="15"/>
        <v>#DIV/0!</v>
      </c>
      <c r="L104" s="26" t="e">
        <f t="shared" si="16"/>
        <v>#DIV/0!</v>
      </c>
      <c r="M104" s="26"/>
      <c r="N104" s="26"/>
      <c r="O104" s="26"/>
      <c r="P104" s="26"/>
    </row>
    <row r="105" spans="1:16">
      <c r="A105" s="26"/>
      <c r="B105" s="26"/>
      <c r="C105" s="26"/>
      <c r="D105" s="26"/>
      <c r="E105" s="26"/>
      <c r="F105" s="26"/>
      <c r="G105" s="26"/>
      <c r="H105" s="26">
        <f t="shared" si="17"/>
        <v>0</v>
      </c>
      <c r="I105" s="26" t="e">
        <f t="shared" si="13"/>
        <v>#DIV/0!</v>
      </c>
      <c r="J105" s="26" t="e">
        <f t="shared" si="14"/>
        <v>#DIV/0!</v>
      </c>
      <c r="K105" s="26" t="e">
        <f t="shared" si="15"/>
        <v>#DIV/0!</v>
      </c>
      <c r="L105" s="26" t="e">
        <f t="shared" si="16"/>
        <v>#DIV/0!</v>
      </c>
      <c r="M105" s="26"/>
      <c r="N105" s="26"/>
      <c r="O105" s="26"/>
      <c r="P105" s="26"/>
    </row>
    <row r="106" spans="1:16">
      <c r="A106" s="26" t="s">
        <v>80</v>
      </c>
      <c r="B106" s="26"/>
      <c r="C106" s="26"/>
      <c r="D106" s="26"/>
      <c r="E106" s="26"/>
      <c r="F106" s="26"/>
      <c r="G106" s="26"/>
      <c r="H106" s="26">
        <f t="shared" si="17"/>
        <v>0</v>
      </c>
      <c r="I106" s="26" t="e">
        <f t="shared" si="13"/>
        <v>#DIV/0!</v>
      </c>
      <c r="J106" s="26" t="e">
        <f t="shared" si="14"/>
        <v>#DIV/0!</v>
      </c>
      <c r="K106" s="26" t="e">
        <f t="shared" si="15"/>
        <v>#DIV/0!</v>
      </c>
      <c r="L106" s="26" t="e">
        <f t="shared" si="16"/>
        <v>#DIV/0!</v>
      </c>
      <c r="M106" s="26"/>
      <c r="N106" s="26"/>
      <c r="O106" s="26"/>
      <c r="P106" s="26"/>
    </row>
    <row r="107" spans="1:16">
      <c r="A107" s="41" t="s">
        <v>81</v>
      </c>
      <c r="B107" s="39" t="s">
        <v>82</v>
      </c>
      <c r="C107" s="41" t="s">
        <v>83</v>
      </c>
      <c r="D107" s="41"/>
      <c r="E107" s="131"/>
      <c r="F107" s="131"/>
      <c r="G107" s="53"/>
      <c r="H107" s="26">
        <f t="shared" si="17"/>
        <v>0</v>
      </c>
      <c r="I107" s="26" t="e">
        <f t="shared" si="13"/>
        <v>#DIV/0!</v>
      </c>
      <c r="J107" s="26" t="e">
        <f t="shared" si="14"/>
        <v>#DIV/0!</v>
      </c>
      <c r="K107" s="26" t="e">
        <f t="shared" si="15"/>
        <v>#DIV/0!</v>
      </c>
      <c r="L107" s="26" t="e">
        <f t="shared" si="16"/>
        <v>#DIV/0!</v>
      </c>
      <c r="M107" s="26"/>
      <c r="N107" s="26"/>
      <c r="O107" s="26"/>
      <c r="P107" s="26"/>
    </row>
    <row r="108" spans="1:16">
      <c r="A108" s="41">
        <f>AVERAGE(A78:A80)</f>
        <v>0</v>
      </c>
      <c r="B108" s="41">
        <f>AVERAGE(C78:C80)</f>
        <v>0</v>
      </c>
      <c r="C108" s="41" t="e">
        <f>I3</f>
        <v>#DIV/0!</v>
      </c>
      <c r="D108" s="41"/>
      <c r="E108" s="54"/>
      <c r="F108" s="54"/>
      <c r="G108" s="54"/>
      <c r="H108" s="26">
        <f t="shared" si="17"/>
        <v>0</v>
      </c>
      <c r="I108" s="26" t="e">
        <f t="shared" si="13"/>
        <v>#DIV/0!</v>
      </c>
      <c r="J108" s="26" t="e">
        <f t="shared" si="14"/>
        <v>#DIV/0!</v>
      </c>
      <c r="K108" s="26" t="e">
        <f t="shared" si="15"/>
        <v>#DIV/0!</v>
      </c>
      <c r="L108" s="26" t="e">
        <f t="shared" si="16"/>
        <v>#DIV/0!</v>
      </c>
      <c r="M108" s="26"/>
      <c r="N108" s="26"/>
      <c r="O108" s="26"/>
      <c r="P108" s="26"/>
    </row>
    <row r="109" spans="1:16">
      <c r="A109" s="41">
        <f>AVERAGE(A81:A83)</f>
        <v>0</v>
      </c>
      <c r="B109" s="41">
        <f>AVERAGE(C81:C83)</f>
        <v>0</v>
      </c>
      <c r="C109" s="41" t="e">
        <f>I5</f>
        <v>#DIV/0!</v>
      </c>
      <c r="D109" s="41"/>
      <c r="E109" s="26"/>
      <c r="F109" s="26"/>
      <c r="G109" s="26"/>
      <c r="H109" s="26">
        <f t="shared" si="17"/>
        <v>0</v>
      </c>
      <c r="I109" s="26" t="e">
        <f t="shared" si="13"/>
        <v>#DIV/0!</v>
      </c>
      <c r="J109" s="26" t="e">
        <f t="shared" si="14"/>
        <v>#DIV/0!</v>
      </c>
      <c r="K109" s="26" t="e">
        <f t="shared" si="15"/>
        <v>#DIV/0!</v>
      </c>
      <c r="L109" s="26" t="e">
        <f t="shared" si="16"/>
        <v>#DIV/0!</v>
      </c>
      <c r="M109" s="26"/>
      <c r="N109" s="26"/>
      <c r="O109" s="26"/>
      <c r="P109" s="26"/>
    </row>
    <row r="110" spans="1:16">
      <c r="A110" s="41">
        <f>AVERAGE(A84:A86)</f>
        <v>0</v>
      </c>
      <c r="B110" s="41">
        <f>AVERAGE(C84:C86)</f>
        <v>0</v>
      </c>
      <c r="C110" s="41" t="e">
        <f>I7</f>
        <v>#DIV/0!</v>
      </c>
      <c r="D110" s="41"/>
      <c r="E110" s="131"/>
      <c r="F110" s="131"/>
      <c r="G110" s="53"/>
      <c r="H110" s="26">
        <f t="shared" si="17"/>
        <v>0</v>
      </c>
      <c r="I110" s="26" t="e">
        <f t="shared" si="13"/>
        <v>#DIV/0!</v>
      </c>
      <c r="J110" s="26" t="e">
        <f t="shared" si="14"/>
        <v>#DIV/0!</v>
      </c>
      <c r="K110" s="26" t="e">
        <f t="shared" si="15"/>
        <v>#DIV/0!</v>
      </c>
      <c r="L110" s="26" t="e">
        <f t="shared" si="16"/>
        <v>#DIV/0!</v>
      </c>
      <c r="M110" s="26"/>
      <c r="N110" s="26"/>
      <c r="O110" s="26"/>
      <c r="P110" s="26"/>
    </row>
    <row r="111" spans="1:16">
      <c r="A111" s="53"/>
      <c r="B111" s="53"/>
      <c r="C111" s="54"/>
      <c r="D111" s="54"/>
      <c r="E111" s="54"/>
      <c r="F111" s="54"/>
      <c r="G111" s="54"/>
      <c r="H111" s="26">
        <f t="shared" si="17"/>
        <v>0</v>
      </c>
      <c r="I111" s="26" t="e">
        <f t="shared" si="13"/>
        <v>#DIV/0!</v>
      </c>
      <c r="J111" s="26" t="e">
        <f t="shared" si="14"/>
        <v>#DIV/0!</v>
      </c>
      <c r="K111" s="26" t="e">
        <f t="shared" si="15"/>
        <v>#DIV/0!</v>
      </c>
      <c r="L111" s="26" t="e">
        <f t="shared" si="16"/>
        <v>#DIV/0!</v>
      </c>
      <c r="M111" s="26"/>
      <c r="N111" s="26"/>
      <c r="O111" s="26"/>
      <c r="P111" s="26"/>
    </row>
    <row r="112" spans="1:16">
      <c r="A112" s="26"/>
      <c r="B112" s="26"/>
      <c r="C112" s="43"/>
      <c r="D112" s="26"/>
      <c r="E112" s="43"/>
      <c r="F112" s="26"/>
      <c r="G112" s="26"/>
      <c r="H112" s="26">
        <f t="shared" si="17"/>
        <v>0</v>
      </c>
      <c r="I112" s="26" t="e">
        <f t="shared" si="13"/>
        <v>#DIV/0!</v>
      </c>
      <c r="J112" s="26" t="e">
        <f t="shared" si="14"/>
        <v>#DIV/0!</v>
      </c>
      <c r="K112" s="26" t="e">
        <f t="shared" si="15"/>
        <v>#DIV/0!</v>
      </c>
      <c r="L112" s="26" t="e">
        <f t="shared" si="16"/>
        <v>#DIV/0!</v>
      </c>
      <c r="M112" s="26"/>
      <c r="N112" s="26"/>
      <c r="O112" s="26"/>
      <c r="P112" s="26"/>
    </row>
    <row r="113" spans="1:16">
      <c r="A113" s="26"/>
      <c r="B113" s="26"/>
      <c r="C113" s="26"/>
      <c r="D113" s="26"/>
      <c r="E113" s="26"/>
      <c r="F113" s="26"/>
      <c r="G113" s="26"/>
      <c r="H113" s="26">
        <f t="shared" si="17"/>
        <v>0</v>
      </c>
      <c r="I113" s="26" t="e">
        <f t="shared" si="13"/>
        <v>#DIV/0!</v>
      </c>
      <c r="J113" s="26" t="e">
        <f t="shared" si="14"/>
        <v>#DIV/0!</v>
      </c>
      <c r="K113" s="26" t="e">
        <f t="shared" si="15"/>
        <v>#DIV/0!</v>
      </c>
      <c r="L113" s="26" t="e">
        <f t="shared" si="16"/>
        <v>#DIV/0!</v>
      </c>
      <c r="M113" s="26"/>
      <c r="N113" s="26"/>
      <c r="O113" s="26"/>
      <c r="P113" s="26"/>
    </row>
    <row r="114" spans="1:16">
      <c r="A114" s="26"/>
      <c r="B114" s="26"/>
      <c r="C114" s="26"/>
      <c r="D114" s="26"/>
      <c r="E114" s="26"/>
      <c r="F114" s="26"/>
      <c r="G114" s="26"/>
      <c r="H114" s="26">
        <f t="shared" si="17"/>
        <v>0</v>
      </c>
      <c r="I114" s="26" t="e">
        <f t="shared" si="13"/>
        <v>#DIV/0!</v>
      </c>
      <c r="J114" s="26" t="e">
        <f t="shared" si="14"/>
        <v>#DIV/0!</v>
      </c>
      <c r="K114" s="26" t="e">
        <f t="shared" si="15"/>
        <v>#DIV/0!</v>
      </c>
      <c r="L114" s="26" t="e">
        <f t="shared" si="16"/>
        <v>#DIV/0!</v>
      </c>
      <c r="M114" s="26"/>
      <c r="N114" s="26"/>
      <c r="O114" s="26"/>
      <c r="P114" s="26"/>
    </row>
    <row r="115" spans="1:16">
      <c r="A115" s="53"/>
      <c r="C115" s="53"/>
      <c r="D115" s="131"/>
      <c r="E115" s="132"/>
      <c r="F115" s="131"/>
      <c r="G115" s="132"/>
      <c r="H115" s="26">
        <f t="shared" si="17"/>
        <v>0</v>
      </c>
      <c r="I115" s="26" t="e">
        <f t="shared" si="13"/>
        <v>#DIV/0!</v>
      </c>
      <c r="J115" s="26" t="e">
        <f t="shared" si="14"/>
        <v>#DIV/0!</v>
      </c>
      <c r="K115" s="26" t="e">
        <f t="shared" si="15"/>
        <v>#DIV/0!</v>
      </c>
      <c r="L115" s="26" t="e">
        <f t="shared" si="16"/>
        <v>#DIV/0!</v>
      </c>
      <c r="M115" s="26"/>
      <c r="N115" s="26"/>
      <c r="O115" s="26"/>
      <c r="P115" s="26"/>
    </row>
    <row r="116" spans="1:16">
      <c r="A116" s="53"/>
      <c r="C116" s="53"/>
      <c r="D116" s="54"/>
      <c r="E116" s="54"/>
      <c r="F116" s="54"/>
      <c r="G116" s="54"/>
      <c r="H116" s="26">
        <f t="shared" si="17"/>
        <v>0</v>
      </c>
      <c r="I116" s="26" t="e">
        <f t="shared" si="13"/>
        <v>#DIV/0!</v>
      </c>
      <c r="J116" s="26" t="e">
        <f t="shared" si="14"/>
        <v>#DIV/0!</v>
      </c>
      <c r="K116" s="26" t="e">
        <f t="shared" si="15"/>
        <v>#DIV/0!</v>
      </c>
      <c r="L116" s="26" t="e">
        <f t="shared" si="16"/>
        <v>#DIV/0!</v>
      </c>
      <c r="M116" s="26"/>
      <c r="N116" s="26"/>
      <c r="O116" s="26"/>
      <c r="P116" s="26"/>
    </row>
    <row r="117" spans="1:16">
      <c r="A117" s="26"/>
      <c r="C117" s="26"/>
      <c r="D117" s="43"/>
      <c r="E117" s="26"/>
      <c r="F117" s="43"/>
      <c r="G117" s="26"/>
      <c r="H117" s="26">
        <f t="shared" si="17"/>
        <v>0</v>
      </c>
      <c r="I117" s="26" t="e">
        <f t="shared" si="13"/>
        <v>#DIV/0!</v>
      </c>
      <c r="J117" s="26" t="e">
        <f t="shared" si="14"/>
        <v>#DIV/0!</v>
      </c>
      <c r="K117" s="26" t="e">
        <f t="shared" si="15"/>
        <v>#DIV/0!</v>
      </c>
      <c r="L117" s="26" t="e">
        <f t="shared" si="16"/>
        <v>#DIV/0!</v>
      </c>
      <c r="M117" s="26"/>
      <c r="N117" s="26"/>
      <c r="O117" s="26"/>
      <c r="P117" s="26"/>
    </row>
    <row r="118" spans="1:16">
      <c r="A118" s="26"/>
      <c r="B118" s="26"/>
      <c r="C118" s="26"/>
      <c r="D118" s="26"/>
      <c r="E118" s="26"/>
      <c r="F118" s="26"/>
      <c r="G118" s="26"/>
      <c r="H118" s="26">
        <f t="shared" si="17"/>
        <v>0</v>
      </c>
      <c r="I118" s="26" t="e">
        <f t="shared" si="13"/>
        <v>#DIV/0!</v>
      </c>
      <c r="J118" s="26" t="e">
        <f t="shared" si="14"/>
        <v>#DIV/0!</v>
      </c>
      <c r="K118" s="26" t="e">
        <f t="shared" si="15"/>
        <v>#DIV/0!</v>
      </c>
      <c r="L118" s="26" t="e">
        <f t="shared" si="16"/>
        <v>#DIV/0!</v>
      </c>
      <c r="M118" s="26"/>
      <c r="N118" s="26"/>
      <c r="O118" s="26"/>
      <c r="P118" s="26"/>
    </row>
    <row r="119" spans="1:16">
      <c r="A119" s="26"/>
      <c r="B119" s="26"/>
      <c r="C119" s="26"/>
      <c r="D119" s="26"/>
      <c r="E119" s="26"/>
      <c r="F119" s="26"/>
      <c r="G119" s="26"/>
      <c r="H119" s="26">
        <f t="shared" si="17"/>
        <v>0</v>
      </c>
      <c r="I119" s="26" t="e">
        <f t="shared" si="13"/>
        <v>#DIV/0!</v>
      </c>
      <c r="J119" s="26" t="e">
        <f t="shared" si="14"/>
        <v>#DIV/0!</v>
      </c>
      <c r="K119" s="26" t="e">
        <f t="shared" si="15"/>
        <v>#DIV/0!</v>
      </c>
      <c r="L119" s="26" t="e">
        <f t="shared" si="16"/>
        <v>#DIV/0!</v>
      </c>
      <c r="M119" s="26"/>
      <c r="N119" s="26"/>
      <c r="O119" s="26"/>
      <c r="P119" s="26"/>
    </row>
    <row r="120" spans="1:16">
      <c r="A120" s="26"/>
      <c r="B120" s="26"/>
      <c r="C120" s="26"/>
      <c r="D120" s="26"/>
      <c r="E120" s="26"/>
      <c r="F120" s="26"/>
      <c r="G120" s="26"/>
      <c r="H120" s="26">
        <f t="shared" si="17"/>
        <v>0</v>
      </c>
      <c r="I120" s="26" t="e">
        <f t="shared" si="13"/>
        <v>#DIV/0!</v>
      </c>
      <c r="J120" s="26" t="e">
        <f t="shared" si="14"/>
        <v>#DIV/0!</v>
      </c>
      <c r="K120" s="26" t="e">
        <f t="shared" si="15"/>
        <v>#DIV/0!</v>
      </c>
      <c r="L120" s="26" t="e">
        <f t="shared" si="16"/>
        <v>#DIV/0!</v>
      </c>
      <c r="M120" s="26"/>
      <c r="N120" s="26"/>
      <c r="O120" s="26"/>
      <c r="P120" s="26"/>
    </row>
    <row r="121" spans="1:16">
      <c r="A121" s="26"/>
      <c r="B121" s="26"/>
      <c r="C121" s="26"/>
      <c r="D121" s="26"/>
      <c r="E121" s="26"/>
      <c r="F121" s="26"/>
      <c r="G121" s="26"/>
      <c r="H121" s="26">
        <f t="shared" si="17"/>
        <v>0</v>
      </c>
      <c r="I121" s="26" t="e">
        <f t="shared" si="13"/>
        <v>#DIV/0!</v>
      </c>
      <c r="J121" s="26" t="e">
        <f t="shared" si="14"/>
        <v>#DIV/0!</v>
      </c>
      <c r="K121" s="26" t="e">
        <f t="shared" si="15"/>
        <v>#DIV/0!</v>
      </c>
      <c r="L121" s="26" t="e">
        <f t="shared" si="16"/>
        <v>#DIV/0!</v>
      </c>
      <c r="M121" s="26"/>
      <c r="N121" s="26"/>
      <c r="O121" s="26"/>
      <c r="P121" s="26"/>
    </row>
    <row r="122" spans="1:16">
      <c r="A122" s="26"/>
      <c r="B122" s="26"/>
      <c r="C122" s="26"/>
      <c r="D122" s="26"/>
      <c r="E122" s="26"/>
      <c r="F122" s="26"/>
      <c r="G122" s="26"/>
      <c r="H122" s="26">
        <f t="shared" si="17"/>
        <v>0</v>
      </c>
      <c r="I122" s="26" t="e">
        <f t="shared" si="13"/>
        <v>#DIV/0!</v>
      </c>
      <c r="J122" s="26" t="e">
        <f t="shared" si="14"/>
        <v>#DIV/0!</v>
      </c>
      <c r="K122" s="26" t="e">
        <f t="shared" si="15"/>
        <v>#DIV/0!</v>
      </c>
      <c r="L122" s="26" t="e">
        <f t="shared" si="16"/>
        <v>#DIV/0!</v>
      </c>
      <c r="M122" s="26"/>
      <c r="N122" s="26"/>
      <c r="O122" s="26"/>
      <c r="P122" s="26"/>
    </row>
    <row r="123" spans="1:16">
      <c r="A123" s="26"/>
      <c r="B123" s="26"/>
      <c r="C123" s="26"/>
      <c r="D123" s="26"/>
      <c r="E123" s="26"/>
      <c r="F123" s="26"/>
      <c r="G123" s="26"/>
      <c r="H123" s="26">
        <f t="shared" si="17"/>
        <v>0</v>
      </c>
      <c r="I123" s="26" t="e">
        <f t="shared" ref="I123:I141" si="18">kslope*$H123+kintercept-ktval_95*ksqrtsquare*SQRT(1+1/kNdata+($H123-kxmean)^2/kS_xx)</f>
        <v>#DIV/0!</v>
      </c>
      <c r="J123" s="26" t="e">
        <f t="shared" ref="J123:J141" si="19">slope*$H123+kintercept+ktval_95*ksqrtsquare*SQRT(1+1/kNdata+($H123-kxmean)^2/kS_xx)</f>
        <v>#DIV/0!</v>
      </c>
      <c r="K123" s="26" t="e">
        <f t="shared" ref="K123:K141" si="20">kslope*$H123+kintercept-ktval_99*ksqrtsquare*SQRT(1+1/kNdata+($H123-kxmean)^2/kS_xx)</f>
        <v>#DIV/0!</v>
      </c>
      <c r="L123" s="26" t="e">
        <f t="shared" ref="L123:L141" si="21">slope*$H123+kintercept+ktval_99*ksqrtsquare*SQRT(1+1/kNdata+($H123-kxmean)^2/kS_xx)</f>
        <v>#DIV/0!</v>
      </c>
      <c r="M123" s="26"/>
      <c r="N123" s="26"/>
      <c r="O123" s="26"/>
      <c r="P123" s="26"/>
    </row>
    <row r="124" spans="1:16">
      <c r="A124" s="26"/>
      <c r="B124" s="26"/>
      <c r="C124" s="26"/>
      <c r="D124" s="26"/>
      <c r="E124" s="26"/>
      <c r="F124" s="26"/>
      <c r="G124" s="26"/>
      <c r="H124" s="26">
        <f t="shared" ref="H124:H141" si="22">H123+(kXstop-kXstart)/50</f>
        <v>0</v>
      </c>
      <c r="I124" s="26" t="e">
        <f t="shared" si="18"/>
        <v>#DIV/0!</v>
      </c>
      <c r="J124" s="26" t="e">
        <f t="shared" si="19"/>
        <v>#DIV/0!</v>
      </c>
      <c r="K124" s="26" t="e">
        <f t="shared" si="20"/>
        <v>#DIV/0!</v>
      </c>
      <c r="L124" s="26" t="e">
        <f t="shared" si="21"/>
        <v>#DIV/0!</v>
      </c>
      <c r="M124" s="26"/>
      <c r="N124" s="26"/>
      <c r="O124" s="26"/>
      <c r="P124" s="26"/>
    </row>
    <row r="125" spans="1:16">
      <c r="A125" s="26"/>
      <c r="B125" s="26"/>
      <c r="C125" s="26"/>
      <c r="D125" s="26"/>
      <c r="E125" s="26"/>
      <c r="F125" s="26"/>
      <c r="G125" s="26"/>
      <c r="H125" s="26">
        <f t="shared" si="22"/>
        <v>0</v>
      </c>
      <c r="I125" s="26" t="e">
        <f t="shared" si="18"/>
        <v>#DIV/0!</v>
      </c>
      <c r="J125" s="26" t="e">
        <f t="shared" si="19"/>
        <v>#DIV/0!</v>
      </c>
      <c r="K125" s="26" t="e">
        <f t="shared" si="20"/>
        <v>#DIV/0!</v>
      </c>
      <c r="L125" s="26" t="e">
        <f t="shared" si="21"/>
        <v>#DIV/0!</v>
      </c>
      <c r="M125" s="26"/>
      <c r="N125" s="26"/>
      <c r="O125" s="26"/>
      <c r="P125" s="26"/>
    </row>
    <row r="126" spans="1:16">
      <c r="A126" s="26"/>
      <c r="B126" s="26"/>
      <c r="C126" s="26"/>
      <c r="D126" s="26"/>
      <c r="E126" s="26"/>
      <c r="F126" s="26"/>
      <c r="G126" s="26"/>
      <c r="H126" s="26">
        <f t="shared" si="22"/>
        <v>0</v>
      </c>
      <c r="I126" s="26" t="e">
        <f t="shared" si="18"/>
        <v>#DIV/0!</v>
      </c>
      <c r="J126" s="26" t="e">
        <f t="shared" si="19"/>
        <v>#DIV/0!</v>
      </c>
      <c r="K126" s="26" t="e">
        <f t="shared" si="20"/>
        <v>#DIV/0!</v>
      </c>
      <c r="L126" s="26" t="e">
        <f t="shared" si="21"/>
        <v>#DIV/0!</v>
      </c>
      <c r="M126" s="26"/>
      <c r="N126" s="26"/>
      <c r="O126" s="26"/>
      <c r="P126" s="26"/>
    </row>
    <row r="127" spans="1:16">
      <c r="A127" s="26"/>
      <c r="B127" s="26"/>
      <c r="C127" s="26"/>
      <c r="D127" s="26"/>
      <c r="E127" s="26"/>
      <c r="F127" s="26"/>
      <c r="G127" s="26"/>
      <c r="H127" s="26">
        <f t="shared" si="22"/>
        <v>0</v>
      </c>
      <c r="I127" s="26" t="e">
        <f t="shared" si="18"/>
        <v>#DIV/0!</v>
      </c>
      <c r="J127" s="26" t="e">
        <f t="shared" si="19"/>
        <v>#DIV/0!</v>
      </c>
      <c r="K127" s="26" t="e">
        <f t="shared" si="20"/>
        <v>#DIV/0!</v>
      </c>
      <c r="L127" s="26" t="e">
        <f t="shared" si="21"/>
        <v>#DIV/0!</v>
      </c>
      <c r="M127" s="26"/>
      <c r="N127" s="26"/>
      <c r="O127" s="26"/>
      <c r="P127" s="26"/>
    </row>
    <row r="128" spans="1:16">
      <c r="A128" s="26"/>
      <c r="B128" s="26"/>
      <c r="C128" s="26"/>
      <c r="D128" s="26"/>
      <c r="E128" s="26"/>
      <c r="F128" s="26"/>
      <c r="G128" s="26"/>
      <c r="H128" s="26">
        <f t="shared" si="22"/>
        <v>0</v>
      </c>
      <c r="I128" s="26" t="e">
        <f t="shared" si="18"/>
        <v>#DIV/0!</v>
      </c>
      <c r="J128" s="26" t="e">
        <f t="shared" si="19"/>
        <v>#DIV/0!</v>
      </c>
      <c r="K128" s="26" t="e">
        <f t="shared" si="20"/>
        <v>#DIV/0!</v>
      </c>
      <c r="L128" s="26" t="e">
        <f t="shared" si="21"/>
        <v>#DIV/0!</v>
      </c>
      <c r="M128" s="26"/>
      <c r="N128" s="26"/>
      <c r="O128" s="26"/>
      <c r="P128" s="26"/>
    </row>
    <row r="129" spans="1:16">
      <c r="A129" s="26"/>
      <c r="B129" s="26"/>
      <c r="C129" s="26"/>
      <c r="D129" s="26"/>
      <c r="E129" s="26"/>
      <c r="F129" s="26"/>
      <c r="G129" s="26"/>
      <c r="H129" s="26">
        <f t="shared" si="22"/>
        <v>0</v>
      </c>
      <c r="I129" s="26" t="e">
        <f t="shared" si="18"/>
        <v>#DIV/0!</v>
      </c>
      <c r="J129" s="26" t="e">
        <f t="shared" si="19"/>
        <v>#DIV/0!</v>
      </c>
      <c r="K129" s="26" t="e">
        <f t="shared" si="20"/>
        <v>#DIV/0!</v>
      </c>
      <c r="L129" s="26" t="e">
        <f t="shared" si="21"/>
        <v>#DIV/0!</v>
      </c>
      <c r="M129" s="26"/>
      <c r="N129" s="26"/>
      <c r="O129" s="26"/>
      <c r="P129" s="26"/>
    </row>
    <row r="130" spans="1:16">
      <c r="A130" s="26"/>
      <c r="B130" s="26"/>
      <c r="C130" s="26"/>
      <c r="D130" s="26"/>
      <c r="E130" s="26"/>
      <c r="F130" s="26"/>
      <c r="G130" s="26"/>
      <c r="H130" s="26">
        <f t="shared" si="22"/>
        <v>0</v>
      </c>
      <c r="I130" s="26" t="e">
        <f t="shared" si="18"/>
        <v>#DIV/0!</v>
      </c>
      <c r="J130" s="26" t="e">
        <f t="shared" si="19"/>
        <v>#DIV/0!</v>
      </c>
      <c r="K130" s="26" t="e">
        <f t="shared" si="20"/>
        <v>#DIV/0!</v>
      </c>
      <c r="L130" s="26" t="e">
        <f t="shared" si="21"/>
        <v>#DIV/0!</v>
      </c>
      <c r="M130" s="26"/>
      <c r="N130" s="26"/>
      <c r="O130" s="26"/>
      <c r="P130" s="26"/>
    </row>
    <row r="131" spans="1:16">
      <c r="A131" s="26"/>
      <c r="B131" s="26"/>
      <c r="C131" s="26"/>
      <c r="D131" s="26"/>
      <c r="E131" s="26"/>
      <c r="F131" s="26"/>
      <c r="G131" s="26"/>
      <c r="H131" s="26">
        <f t="shared" si="22"/>
        <v>0</v>
      </c>
      <c r="I131" s="26" t="e">
        <f t="shared" si="18"/>
        <v>#DIV/0!</v>
      </c>
      <c r="J131" s="26" t="e">
        <f t="shared" si="19"/>
        <v>#DIV/0!</v>
      </c>
      <c r="K131" s="26" t="e">
        <f t="shared" si="20"/>
        <v>#DIV/0!</v>
      </c>
      <c r="L131" s="26" t="e">
        <f t="shared" si="21"/>
        <v>#DIV/0!</v>
      </c>
      <c r="M131" s="26"/>
      <c r="N131" s="26"/>
      <c r="O131" s="26"/>
      <c r="P131" s="26"/>
    </row>
    <row r="132" spans="1:16">
      <c r="A132" s="26"/>
      <c r="B132" s="26"/>
      <c r="C132" s="26"/>
      <c r="D132" s="26"/>
      <c r="E132" s="26"/>
      <c r="F132" s="26"/>
      <c r="G132" s="26"/>
      <c r="H132" s="26">
        <f t="shared" si="22"/>
        <v>0</v>
      </c>
      <c r="I132" s="26" t="e">
        <f t="shared" si="18"/>
        <v>#DIV/0!</v>
      </c>
      <c r="J132" s="26" t="e">
        <f t="shared" si="19"/>
        <v>#DIV/0!</v>
      </c>
      <c r="K132" s="26" t="e">
        <f t="shared" si="20"/>
        <v>#DIV/0!</v>
      </c>
      <c r="L132" s="26" t="e">
        <f t="shared" si="21"/>
        <v>#DIV/0!</v>
      </c>
      <c r="M132" s="26"/>
      <c r="N132" s="26"/>
      <c r="O132" s="26"/>
      <c r="P132" s="26"/>
    </row>
    <row r="133" spans="1:16">
      <c r="A133" s="26"/>
      <c r="B133" s="26"/>
      <c r="C133" s="26"/>
      <c r="D133" s="26"/>
      <c r="E133" s="26"/>
      <c r="F133" s="26"/>
      <c r="G133" s="26"/>
      <c r="H133" s="26">
        <f t="shared" si="22"/>
        <v>0</v>
      </c>
      <c r="I133" s="26" t="e">
        <f t="shared" si="18"/>
        <v>#DIV/0!</v>
      </c>
      <c r="J133" s="26" t="e">
        <f t="shared" si="19"/>
        <v>#DIV/0!</v>
      </c>
      <c r="K133" s="26" t="e">
        <f t="shared" si="20"/>
        <v>#DIV/0!</v>
      </c>
      <c r="L133" s="26" t="e">
        <f t="shared" si="21"/>
        <v>#DIV/0!</v>
      </c>
      <c r="M133" s="26"/>
      <c r="N133" s="26"/>
      <c r="O133" s="26"/>
      <c r="P133" s="26"/>
    </row>
    <row r="134" spans="1:16">
      <c r="A134" s="26"/>
      <c r="B134" s="26"/>
      <c r="C134" s="26"/>
      <c r="D134" s="26"/>
      <c r="E134" s="26"/>
      <c r="F134" s="26"/>
      <c r="G134" s="26"/>
      <c r="H134" s="26">
        <f t="shared" si="22"/>
        <v>0</v>
      </c>
      <c r="I134" s="26" t="e">
        <f t="shared" si="18"/>
        <v>#DIV/0!</v>
      </c>
      <c r="J134" s="26" t="e">
        <f t="shared" si="19"/>
        <v>#DIV/0!</v>
      </c>
      <c r="K134" s="26" t="e">
        <f t="shared" si="20"/>
        <v>#DIV/0!</v>
      </c>
      <c r="L134" s="26" t="e">
        <f t="shared" si="21"/>
        <v>#DIV/0!</v>
      </c>
      <c r="M134" s="26"/>
      <c r="N134" s="26"/>
      <c r="O134" s="26"/>
      <c r="P134" s="26"/>
    </row>
    <row r="135" spans="1:16">
      <c r="A135" s="26"/>
      <c r="B135" s="26"/>
      <c r="C135" s="26"/>
      <c r="D135" s="26"/>
      <c r="E135" s="26"/>
      <c r="F135" s="26"/>
      <c r="G135" s="26"/>
      <c r="H135" s="26">
        <f t="shared" si="22"/>
        <v>0</v>
      </c>
      <c r="I135" s="26" t="e">
        <f t="shared" si="18"/>
        <v>#DIV/0!</v>
      </c>
      <c r="J135" s="26" t="e">
        <f t="shared" si="19"/>
        <v>#DIV/0!</v>
      </c>
      <c r="K135" s="26" t="e">
        <f t="shared" si="20"/>
        <v>#DIV/0!</v>
      </c>
      <c r="L135" s="26" t="e">
        <f t="shared" si="21"/>
        <v>#DIV/0!</v>
      </c>
      <c r="M135" s="26"/>
      <c r="N135" s="26"/>
      <c r="O135" s="26"/>
      <c r="P135" s="26"/>
    </row>
    <row r="136" spans="1:16">
      <c r="A136" s="26"/>
      <c r="B136" s="26"/>
      <c r="C136" s="26"/>
      <c r="D136" s="26"/>
      <c r="E136" s="26"/>
      <c r="F136" s="26"/>
      <c r="G136" s="26"/>
      <c r="H136" s="26">
        <f t="shared" si="22"/>
        <v>0</v>
      </c>
      <c r="I136" s="26" t="e">
        <f t="shared" si="18"/>
        <v>#DIV/0!</v>
      </c>
      <c r="J136" s="26" t="e">
        <f t="shared" si="19"/>
        <v>#DIV/0!</v>
      </c>
      <c r="K136" s="26" t="e">
        <f t="shared" si="20"/>
        <v>#DIV/0!</v>
      </c>
      <c r="L136" s="26" t="e">
        <f t="shared" si="21"/>
        <v>#DIV/0!</v>
      </c>
      <c r="M136" s="26"/>
      <c r="N136" s="26"/>
      <c r="O136" s="26"/>
      <c r="P136" s="26"/>
    </row>
    <row r="137" spans="1:16">
      <c r="A137" s="26"/>
      <c r="B137" s="26"/>
      <c r="C137" s="26"/>
      <c r="D137" s="26"/>
      <c r="E137" s="26"/>
      <c r="F137" s="26"/>
      <c r="G137" s="26"/>
      <c r="H137" s="26">
        <f t="shared" si="22"/>
        <v>0</v>
      </c>
      <c r="I137" s="26" t="e">
        <f t="shared" si="18"/>
        <v>#DIV/0!</v>
      </c>
      <c r="J137" s="26" t="e">
        <f t="shared" si="19"/>
        <v>#DIV/0!</v>
      </c>
      <c r="K137" s="26" t="e">
        <f t="shared" si="20"/>
        <v>#DIV/0!</v>
      </c>
      <c r="L137" s="26" t="e">
        <f t="shared" si="21"/>
        <v>#DIV/0!</v>
      </c>
      <c r="M137" s="26"/>
      <c r="N137" s="26"/>
      <c r="O137" s="26"/>
      <c r="P137" s="26"/>
    </row>
    <row r="138" spans="1:16">
      <c r="A138" s="26"/>
      <c r="B138" s="26"/>
      <c r="C138" s="26"/>
      <c r="D138" s="26"/>
      <c r="E138" s="26"/>
      <c r="F138" s="26"/>
      <c r="G138" s="26"/>
      <c r="H138" s="26">
        <f t="shared" si="22"/>
        <v>0</v>
      </c>
      <c r="I138" s="26" t="e">
        <f t="shared" si="18"/>
        <v>#DIV/0!</v>
      </c>
      <c r="J138" s="26" t="e">
        <f t="shared" si="19"/>
        <v>#DIV/0!</v>
      </c>
      <c r="K138" s="26" t="e">
        <f t="shared" si="20"/>
        <v>#DIV/0!</v>
      </c>
      <c r="L138" s="26" t="e">
        <f t="shared" si="21"/>
        <v>#DIV/0!</v>
      </c>
      <c r="M138" s="26"/>
      <c r="N138" s="26"/>
      <c r="O138" s="26"/>
      <c r="P138" s="26"/>
    </row>
    <row r="139" spans="1:16">
      <c r="A139" s="26"/>
      <c r="B139" s="26"/>
      <c r="C139" s="26"/>
      <c r="D139" s="26"/>
      <c r="E139" s="26"/>
      <c r="F139" s="26"/>
      <c r="G139" s="26"/>
      <c r="H139" s="26">
        <f t="shared" si="22"/>
        <v>0</v>
      </c>
      <c r="I139" s="26" t="e">
        <f t="shared" si="18"/>
        <v>#DIV/0!</v>
      </c>
      <c r="J139" s="26" t="e">
        <f t="shared" si="19"/>
        <v>#DIV/0!</v>
      </c>
      <c r="K139" s="26" t="e">
        <f t="shared" si="20"/>
        <v>#DIV/0!</v>
      </c>
      <c r="L139" s="26" t="e">
        <f t="shared" si="21"/>
        <v>#DIV/0!</v>
      </c>
      <c r="M139" s="26"/>
      <c r="N139" s="26"/>
      <c r="O139" s="26"/>
      <c r="P139" s="26"/>
    </row>
    <row r="140" spans="1:16">
      <c r="A140" s="26"/>
      <c r="B140" s="26"/>
      <c r="C140" s="26"/>
      <c r="D140" s="26"/>
      <c r="E140" s="26"/>
      <c r="F140" s="26"/>
      <c r="G140" s="26"/>
      <c r="H140" s="26">
        <f t="shared" si="22"/>
        <v>0</v>
      </c>
      <c r="I140" s="26" t="e">
        <f t="shared" si="18"/>
        <v>#DIV/0!</v>
      </c>
      <c r="J140" s="26" t="e">
        <f t="shared" si="19"/>
        <v>#DIV/0!</v>
      </c>
      <c r="K140" s="26" t="e">
        <f t="shared" si="20"/>
        <v>#DIV/0!</v>
      </c>
      <c r="L140" s="26" t="e">
        <f t="shared" si="21"/>
        <v>#DIV/0!</v>
      </c>
      <c r="M140" s="26"/>
      <c r="N140" s="26"/>
      <c r="O140" s="26"/>
      <c r="P140" s="26"/>
    </row>
    <row r="141" spans="1:16">
      <c r="A141" s="26"/>
      <c r="B141" s="26"/>
      <c r="C141" s="26"/>
      <c r="D141" s="26"/>
      <c r="E141" s="26"/>
      <c r="F141" s="26"/>
      <c r="G141" s="26"/>
      <c r="H141" s="26">
        <f t="shared" si="22"/>
        <v>0</v>
      </c>
      <c r="I141" s="26" t="e">
        <f t="shared" si="18"/>
        <v>#DIV/0!</v>
      </c>
      <c r="J141" s="26" t="e">
        <f t="shared" si="19"/>
        <v>#DIV/0!</v>
      </c>
      <c r="K141" s="26" t="e">
        <f t="shared" si="20"/>
        <v>#DIV/0!</v>
      </c>
      <c r="L141" s="26" t="e">
        <f t="shared" si="21"/>
        <v>#DIV/0!</v>
      </c>
      <c r="M141" s="26"/>
      <c r="N141" s="26"/>
      <c r="O141" s="26"/>
      <c r="P141" s="26"/>
    </row>
  </sheetData>
  <mergeCells count="14">
    <mergeCell ref="D115:E115"/>
    <mergeCell ref="F115:G115"/>
    <mergeCell ref="F21:G21"/>
    <mergeCell ref="H1:J1"/>
    <mergeCell ref="B4:C4"/>
    <mergeCell ref="B6:C6"/>
    <mergeCell ref="B8:C8"/>
    <mergeCell ref="D11:E11"/>
    <mergeCell ref="F20:G20"/>
    <mergeCell ref="E107:F107"/>
    <mergeCell ref="E110:F110"/>
    <mergeCell ref="C18:E18"/>
    <mergeCell ref="A17:B17"/>
    <mergeCell ref="C17:E17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X84"/>
  <sheetViews>
    <sheetView zoomScaleNormal="100" workbookViewId="0">
      <selection activeCell="J23" sqref="J23"/>
    </sheetView>
  </sheetViews>
  <sheetFormatPr baseColWidth="10" defaultColWidth="8.83203125" defaultRowHeight="13"/>
  <cols>
    <col min="1" max="1" width="12.83203125" customWidth="1"/>
    <col min="2" max="2" width="12.5" bestFit="1" customWidth="1"/>
    <col min="3" max="5" width="13.1640625" bestFit="1" customWidth="1"/>
    <col min="6" max="6" width="13.5" bestFit="1" customWidth="1"/>
    <col min="7" max="7" width="12.5" bestFit="1" customWidth="1"/>
    <col min="10" max="10" width="11.33203125" customWidth="1"/>
    <col min="14" max="14" width="13.6640625" customWidth="1"/>
  </cols>
  <sheetData>
    <row r="1" spans="1:22">
      <c r="A1" s="63" t="s">
        <v>114</v>
      </c>
      <c r="B1" s="26"/>
      <c r="C1" s="26"/>
      <c r="D1" s="26"/>
      <c r="E1" s="26"/>
      <c r="F1" s="26"/>
      <c r="G1" s="26"/>
      <c r="H1" s="26"/>
      <c r="I1" s="26"/>
      <c r="J1" s="63" t="s">
        <v>115</v>
      </c>
      <c r="K1" s="26"/>
      <c r="L1" s="26"/>
      <c r="M1" s="26"/>
      <c r="N1" s="26"/>
      <c r="O1" s="26"/>
      <c r="Q1" s="26"/>
      <c r="R1" s="26"/>
      <c r="S1" s="26"/>
      <c r="T1" s="26"/>
      <c r="U1" s="26"/>
      <c r="V1" s="26"/>
    </row>
    <row r="2" spans="1:22">
      <c r="A2" s="27" t="s">
        <v>6</v>
      </c>
      <c r="B2" s="27" t="s">
        <v>7</v>
      </c>
      <c r="C2" s="114" t="s">
        <v>169</v>
      </c>
      <c r="D2" s="27" t="s">
        <v>8</v>
      </c>
      <c r="E2" s="27" t="s">
        <v>9</v>
      </c>
      <c r="F2" s="27" t="s">
        <v>10</v>
      </c>
      <c r="G2" s="28" t="s">
        <v>17</v>
      </c>
      <c r="H2" s="27" t="s">
        <v>35</v>
      </c>
      <c r="I2" s="27" t="s">
        <v>16</v>
      </c>
      <c r="J2" s="27" t="s">
        <v>41</v>
      </c>
      <c r="K2" s="27" t="s">
        <v>160</v>
      </c>
      <c r="L2" s="26"/>
      <c r="M2" s="26"/>
      <c r="N2" s="26"/>
      <c r="O2" s="26"/>
      <c r="P2" s="26"/>
      <c r="Q2" s="26"/>
    </row>
    <row r="3" spans="1:22" s="106" customFormat="1">
      <c r="A3" s="107">
        <f>level1</f>
        <v>0.5</v>
      </c>
      <c r="B3" s="112">
        <f>data_and_report!D3</f>
        <v>33.421599999999998</v>
      </c>
      <c r="C3" s="112">
        <f>A3*A3</f>
        <v>0.25</v>
      </c>
      <c r="D3" s="109">
        <f t="shared" ref="D3:D23" si="0">A3*B3</f>
        <v>16.710799999999999</v>
      </c>
      <c r="E3" s="107">
        <f t="shared" ref="E3:E23" si="1">A3-xmean</f>
        <v>-26.285714285714285</v>
      </c>
      <c r="F3" s="110">
        <f t="shared" ref="F3:F23" si="2">B3-ymean</f>
        <v>-103.20305238095237</v>
      </c>
      <c r="G3" s="107">
        <f t="shared" ref="G3:G23" si="3">A3*slope+intercept</f>
        <v>10.858419715960329</v>
      </c>
      <c r="H3" s="107">
        <f t="shared" ref="H3:H23" si="4">G3-ymean</f>
        <v>-125.76623266499205</v>
      </c>
      <c r="I3" s="107">
        <f t="shared" ref="I3:I23" si="5">B3-G3</f>
        <v>22.563180284039667</v>
      </c>
      <c r="J3" s="111">
        <f>m_1</f>
        <v>1</v>
      </c>
      <c r="K3" s="111">
        <f t="shared" ref="K3:K23" si="6">I3/A3</f>
        <v>45.126360568079335</v>
      </c>
      <c r="L3" s="110"/>
      <c r="M3" s="110"/>
      <c r="N3" s="110"/>
      <c r="O3" s="110"/>
      <c r="P3" s="110"/>
      <c r="Q3" s="110"/>
    </row>
    <row r="4" spans="1:22" s="106" customFormat="1">
      <c r="A4" s="107">
        <f>level2</f>
        <v>2</v>
      </c>
      <c r="B4" s="108">
        <f>data_and_report!D5</f>
        <v>40.311599999999999</v>
      </c>
      <c r="C4" s="112">
        <f t="shared" ref="C4:C23" si="7">A4*A4</f>
        <v>4</v>
      </c>
      <c r="D4" s="109">
        <f t="shared" si="0"/>
        <v>80.623199999999997</v>
      </c>
      <c r="E4" s="107">
        <f t="shared" si="1"/>
        <v>-24.785714285714285</v>
      </c>
      <c r="F4" s="110">
        <f t="shared" si="2"/>
        <v>-96.313052380952371</v>
      </c>
      <c r="G4" s="107">
        <f t="shared" si="3"/>
        <v>18.035297123473462</v>
      </c>
      <c r="H4" s="107">
        <f t="shared" si="4"/>
        <v>-118.5893552574789</v>
      </c>
      <c r="I4" s="107">
        <f t="shared" si="5"/>
        <v>22.276302876526536</v>
      </c>
      <c r="J4" s="109">
        <f>m__2_1</f>
        <v>4</v>
      </c>
      <c r="K4" s="111">
        <f t="shared" si="6"/>
        <v>11.138151438263268</v>
      </c>
      <c r="L4" s="110"/>
      <c r="M4" s="110"/>
      <c r="N4" s="110"/>
      <c r="O4" s="110"/>
      <c r="P4" s="110"/>
      <c r="Q4" s="110"/>
    </row>
    <row r="5" spans="1:22" s="106" customFormat="1">
      <c r="A5" s="107">
        <f>level3</f>
        <v>5</v>
      </c>
      <c r="B5" s="112">
        <f>data_and_report!D7</f>
        <v>45.049900000000001</v>
      </c>
      <c r="C5" s="112">
        <f t="shared" si="7"/>
        <v>25</v>
      </c>
      <c r="D5" s="109">
        <f t="shared" si="0"/>
        <v>225.24950000000001</v>
      </c>
      <c r="E5" s="107">
        <f t="shared" si="1"/>
        <v>-21.785714285714285</v>
      </c>
      <c r="F5" s="110">
        <f t="shared" si="2"/>
        <v>-91.574752380952361</v>
      </c>
      <c r="G5" s="107">
        <f t="shared" si="3"/>
        <v>32.389051938499733</v>
      </c>
      <c r="H5" s="107">
        <f t="shared" si="4"/>
        <v>-104.23560044245264</v>
      </c>
      <c r="I5" s="107">
        <f t="shared" si="5"/>
        <v>12.660848061500268</v>
      </c>
      <c r="J5" s="109">
        <f>m_7</f>
        <v>7</v>
      </c>
      <c r="K5" s="111">
        <f t="shared" si="6"/>
        <v>2.5321696123000534</v>
      </c>
      <c r="L5" s="110"/>
      <c r="M5" s="110"/>
      <c r="N5" s="110"/>
      <c r="O5" s="110"/>
      <c r="P5" s="110"/>
      <c r="Q5" s="110"/>
    </row>
    <row r="6" spans="1:22" s="106" customFormat="1">
      <c r="A6" s="107">
        <f>level4</f>
        <v>10</v>
      </c>
      <c r="B6" s="112">
        <f>data_and_report!D9</f>
        <v>49.779600000000002</v>
      </c>
      <c r="C6" s="112">
        <f t="shared" si="7"/>
        <v>100</v>
      </c>
      <c r="D6" s="109">
        <f t="shared" si="0"/>
        <v>497.79600000000005</v>
      </c>
      <c r="E6" s="107">
        <f t="shared" si="1"/>
        <v>-16.785714285714285</v>
      </c>
      <c r="F6" s="110">
        <f t="shared" si="2"/>
        <v>-86.845052380952367</v>
      </c>
      <c r="G6" s="107">
        <f t="shared" si="3"/>
        <v>56.311976630210175</v>
      </c>
      <c r="H6" s="107">
        <f t="shared" si="4"/>
        <v>-80.312675750742187</v>
      </c>
      <c r="I6" s="107">
        <f t="shared" si="5"/>
        <v>-6.5323766302101731</v>
      </c>
      <c r="J6" s="109">
        <f>m_10</f>
        <v>10</v>
      </c>
      <c r="K6" s="111">
        <f t="shared" si="6"/>
        <v>-0.65323766302101727</v>
      </c>
      <c r="L6" s="110"/>
      <c r="M6" s="110"/>
      <c r="N6" s="110"/>
      <c r="O6" s="110"/>
      <c r="P6" s="110"/>
      <c r="Q6" s="110"/>
    </row>
    <row r="7" spans="1:22" s="106" customFormat="1">
      <c r="A7" s="107">
        <f>level5</f>
        <v>20</v>
      </c>
      <c r="B7" s="112">
        <f>data_and_report!D11</f>
        <v>13</v>
      </c>
      <c r="C7" s="112">
        <f t="shared" si="7"/>
        <v>400</v>
      </c>
      <c r="D7" s="109">
        <f t="shared" si="0"/>
        <v>260</v>
      </c>
      <c r="E7" s="107">
        <f t="shared" si="1"/>
        <v>-6.7857142857142847</v>
      </c>
      <c r="F7" s="110">
        <f t="shared" si="2"/>
        <v>-123.62465238095237</v>
      </c>
      <c r="G7" s="107">
        <f t="shared" si="3"/>
        <v>104.15782601363107</v>
      </c>
      <c r="H7" s="107">
        <f t="shared" si="4"/>
        <v>-32.466826367321303</v>
      </c>
      <c r="I7" s="107">
        <f t="shared" si="5"/>
        <v>-91.157826013631066</v>
      </c>
      <c r="J7" s="109">
        <f>m_13</f>
        <v>13</v>
      </c>
      <c r="K7" s="111">
        <f t="shared" si="6"/>
        <v>-4.5578913006815531</v>
      </c>
      <c r="L7" s="110"/>
      <c r="M7" s="110"/>
      <c r="N7" s="110"/>
      <c r="O7" s="110"/>
      <c r="P7" s="110"/>
      <c r="Q7" s="110"/>
    </row>
    <row r="8" spans="1:22" s="106" customFormat="1">
      <c r="A8" s="107">
        <f>level6</f>
        <v>50</v>
      </c>
      <c r="B8" s="112">
        <f>data_and_report!D13</f>
        <v>250</v>
      </c>
      <c r="C8" s="112">
        <f t="shared" si="7"/>
        <v>2500</v>
      </c>
      <c r="D8" s="109">
        <f t="shared" si="0"/>
        <v>12500</v>
      </c>
      <c r="E8" s="107">
        <f t="shared" si="1"/>
        <v>23.214285714285715</v>
      </c>
      <c r="F8" s="110">
        <f t="shared" si="2"/>
        <v>113.37534761904763</v>
      </c>
      <c r="G8" s="107">
        <f t="shared" si="3"/>
        <v>247.69537416389375</v>
      </c>
      <c r="H8" s="107">
        <f t="shared" si="4"/>
        <v>111.07072178294138</v>
      </c>
      <c r="I8" s="107">
        <f t="shared" si="5"/>
        <v>2.3046258361062542</v>
      </c>
      <c r="J8" s="109">
        <f>m_6_1</f>
        <v>16</v>
      </c>
      <c r="K8" s="111">
        <f t="shared" si="6"/>
        <v>4.6092516722125082E-2</v>
      </c>
      <c r="L8" s="110"/>
      <c r="M8" s="110"/>
      <c r="N8" s="110"/>
      <c r="O8" s="110"/>
      <c r="P8" s="110"/>
      <c r="Q8" s="110"/>
    </row>
    <row r="9" spans="1:22" s="106" customFormat="1">
      <c r="A9" s="107">
        <f>level7</f>
        <v>100</v>
      </c>
      <c r="B9" s="112">
        <f>data_and_report!D15</f>
        <v>500</v>
      </c>
      <c r="C9" s="112">
        <f t="shared" si="7"/>
        <v>10000</v>
      </c>
      <c r="D9" s="109">
        <f t="shared" si="0"/>
        <v>50000</v>
      </c>
      <c r="E9" s="107">
        <f t="shared" si="1"/>
        <v>73.214285714285722</v>
      </c>
      <c r="F9" s="110">
        <f t="shared" si="2"/>
        <v>363.3753476190476</v>
      </c>
      <c r="G9" s="107">
        <f t="shared" si="3"/>
        <v>486.92462108099824</v>
      </c>
      <c r="H9" s="107">
        <f t="shared" si="4"/>
        <v>350.29996870004584</v>
      </c>
      <c r="I9" s="107">
        <f t="shared" si="5"/>
        <v>13.075378919001764</v>
      </c>
      <c r="J9" s="109">
        <f>data_and_report!D16</f>
        <v>19</v>
      </c>
      <c r="K9" s="111">
        <f t="shared" si="6"/>
        <v>0.13075378919001765</v>
      </c>
      <c r="L9" s="110"/>
      <c r="M9" s="110"/>
      <c r="N9" s="110"/>
      <c r="O9" s="110"/>
      <c r="P9" s="110"/>
      <c r="Q9" s="110"/>
    </row>
    <row r="10" spans="1:22">
      <c r="A10" s="29">
        <f>level1</f>
        <v>0.5</v>
      </c>
      <c r="B10" s="30">
        <f>data_and_report!E3</f>
        <v>33.1526</v>
      </c>
      <c r="C10" s="112">
        <f t="shared" si="7"/>
        <v>0.25</v>
      </c>
      <c r="D10" s="31">
        <f t="shared" si="0"/>
        <v>16.5763</v>
      </c>
      <c r="E10" s="29">
        <f t="shared" si="1"/>
        <v>-26.285714285714285</v>
      </c>
      <c r="F10" s="26">
        <f t="shared" si="2"/>
        <v>-103.47205238095236</v>
      </c>
      <c r="G10" s="29">
        <f t="shared" si="3"/>
        <v>10.858419715960329</v>
      </c>
      <c r="H10" s="29">
        <f t="shared" si="4"/>
        <v>-125.76623266499205</v>
      </c>
      <c r="I10" s="29">
        <f t="shared" si="5"/>
        <v>22.294180284039669</v>
      </c>
      <c r="J10" s="31">
        <f>data_and_report!E4</f>
        <v>2</v>
      </c>
      <c r="K10" s="32">
        <f t="shared" si="6"/>
        <v>44.588360568079338</v>
      </c>
      <c r="L10" s="26"/>
      <c r="M10" s="26"/>
      <c r="N10" s="26"/>
      <c r="O10" s="26"/>
      <c r="P10" s="26"/>
      <c r="Q10" s="26"/>
    </row>
    <row r="11" spans="1:22">
      <c r="A11" s="29">
        <f>level2</f>
        <v>2</v>
      </c>
      <c r="B11" s="30">
        <f>data_and_report!E5</f>
        <v>40.311599999999999</v>
      </c>
      <c r="C11" s="112">
        <f t="shared" si="7"/>
        <v>4</v>
      </c>
      <c r="D11" s="31">
        <f t="shared" si="0"/>
        <v>80.623199999999997</v>
      </c>
      <c r="E11" s="29">
        <f t="shared" si="1"/>
        <v>-24.785714285714285</v>
      </c>
      <c r="F11" s="26">
        <f t="shared" si="2"/>
        <v>-96.313052380952371</v>
      </c>
      <c r="G11" s="29">
        <f t="shared" si="3"/>
        <v>18.035297123473462</v>
      </c>
      <c r="H11" s="29">
        <f t="shared" si="4"/>
        <v>-118.5893552574789</v>
      </c>
      <c r="I11" s="29">
        <f t="shared" si="5"/>
        <v>22.276302876526536</v>
      </c>
      <c r="J11" s="31">
        <f>data_and_report!E6</f>
        <v>5</v>
      </c>
      <c r="K11" s="32">
        <f t="shared" si="6"/>
        <v>11.138151438263268</v>
      </c>
      <c r="L11" s="26"/>
      <c r="M11" s="26"/>
      <c r="N11" s="26"/>
      <c r="O11" s="26"/>
      <c r="P11" s="26"/>
      <c r="Q11" s="26"/>
    </row>
    <row r="12" spans="1:22">
      <c r="A12" s="29">
        <f>level3</f>
        <v>5</v>
      </c>
      <c r="B12" s="113">
        <f>data_and_report!E7</f>
        <v>45.018799999999999</v>
      </c>
      <c r="C12" s="112">
        <f t="shared" si="7"/>
        <v>25</v>
      </c>
      <c r="D12" s="31">
        <f t="shared" si="0"/>
        <v>225.09399999999999</v>
      </c>
      <c r="E12" s="29">
        <f t="shared" si="1"/>
        <v>-21.785714285714285</v>
      </c>
      <c r="F12" s="26">
        <f t="shared" si="2"/>
        <v>-91.605852380952371</v>
      </c>
      <c r="G12" s="29">
        <f t="shared" si="3"/>
        <v>32.389051938499733</v>
      </c>
      <c r="H12" s="29">
        <f t="shared" si="4"/>
        <v>-104.23560044245264</v>
      </c>
      <c r="I12" s="29">
        <f t="shared" si="5"/>
        <v>12.629748061500266</v>
      </c>
      <c r="J12" s="31">
        <f>data_and_report!E8</f>
        <v>8</v>
      </c>
      <c r="K12" s="32">
        <f t="shared" si="6"/>
        <v>2.5259496123000531</v>
      </c>
      <c r="L12" s="26"/>
      <c r="M12" s="26"/>
      <c r="N12" s="26"/>
      <c r="O12" s="26"/>
      <c r="P12" s="26"/>
      <c r="Q12" s="26"/>
    </row>
    <row r="13" spans="1:22">
      <c r="A13" s="29">
        <f>level4</f>
        <v>10</v>
      </c>
      <c r="B13" s="30">
        <f>data_and_report!E9</f>
        <v>49.794499999999999</v>
      </c>
      <c r="C13" s="112">
        <f t="shared" si="7"/>
        <v>100</v>
      </c>
      <c r="D13" s="31">
        <f t="shared" si="0"/>
        <v>497.94499999999999</v>
      </c>
      <c r="E13" s="29">
        <f t="shared" si="1"/>
        <v>-16.785714285714285</v>
      </c>
      <c r="F13" s="26">
        <f t="shared" si="2"/>
        <v>-86.83015238095237</v>
      </c>
      <c r="G13" s="29">
        <f t="shared" si="3"/>
        <v>56.311976630210175</v>
      </c>
      <c r="H13" s="29">
        <f t="shared" si="4"/>
        <v>-80.312675750742187</v>
      </c>
      <c r="I13" s="29">
        <f t="shared" si="5"/>
        <v>-6.5174766302101759</v>
      </c>
      <c r="J13" s="31">
        <f>data_and_report!E10</f>
        <v>11</v>
      </c>
      <c r="K13" s="32">
        <f t="shared" si="6"/>
        <v>-0.65174766302101761</v>
      </c>
      <c r="L13" s="26"/>
      <c r="M13" s="26"/>
      <c r="N13" s="26"/>
      <c r="O13" s="26"/>
      <c r="P13" s="26"/>
      <c r="Q13" s="26"/>
    </row>
    <row r="14" spans="1:22">
      <c r="A14" s="29">
        <f>level5</f>
        <v>20</v>
      </c>
      <c r="B14" s="113">
        <f>data_and_report!E11</f>
        <v>54</v>
      </c>
      <c r="C14" s="112">
        <f t="shared" si="7"/>
        <v>400</v>
      </c>
      <c r="D14" s="31">
        <f t="shared" si="0"/>
        <v>1080</v>
      </c>
      <c r="E14" s="29">
        <f t="shared" si="1"/>
        <v>-6.7857142857142847</v>
      </c>
      <c r="F14" s="26">
        <f t="shared" si="2"/>
        <v>-82.624652380952369</v>
      </c>
      <c r="G14" s="29">
        <f t="shared" si="3"/>
        <v>104.15782601363107</v>
      </c>
      <c r="H14" s="29">
        <f t="shared" si="4"/>
        <v>-32.466826367321303</v>
      </c>
      <c r="I14" s="29">
        <f t="shared" si="5"/>
        <v>-50.157826013631066</v>
      </c>
      <c r="J14" s="31">
        <f>data_and_report!E12</f>
        <v>14</v>
      </c>
      <c r="K14" s="32">
        <f t="shared" si="6"/>
        <v>-2.5078913006815533</v>
      </c>
      <c r="L14" s="26"/>
      <c r="M14" s="26"/>
      <c r="N14" s="26"/>
      <c r="O14" s="26"/>
      <c r="P14" s="26"/>
      <c r="Q14" s="26"/>
    </row>
    <row r="15" spans="1:22">
      <c r="A15" s="29">
        <f>level6</f>
        <v>50</v>
      </c>
      <c r="B15" s="113">
        <f>data_and_report!E13</f>
        <v>249</v>
      </c>
      <c r="C15" s="112">
        <f>A15*A15</f>
        <v>2500</v>
      </c>
      <c r="D15" s="31">
        <f t="shared" si="0"/>
        <v>12450</v>
      </c>
      <c r="E15" s="29">
        <f t="shared" si="1"/>
        <v>23.214285714285715</v>
      </c>
      <c r="F15" s="26">
        <f t="shared" si="2"/>
        <v>112.37534761904763</v>
      </c>
      <c r="G15" s="29">
        <f t="shared" si="3"/>
        <v>247.69537416389375</v>
      </c>
      <c r="H15" s="29">
        <f t="shared" si="4"/>
        <v>111.07072178294138</v>
      </c>
      <c r="I15" s="29">
        <f t="shared" si="5"/>
        <v>1.3046258361062542</v>
      </c>
      <c r="J15" s="31">
        <f>data_and_report!E14</f>
        <v>17</v>
      </c>
      <c r="K15" s="32">
        <f t="shared" si="6"/>
        <v>2.6092516722125082E-2</v>
      </c>
      <c r="L15" s="26"/>
      <c r="M15" s="26"/>
      <c r="N15" s="26"/>
      <c r="O15" s="26"/>
      <c r="P15" s="26"/>
      <c r="Q15" s="26"/>
    </row>
    <row r="16" spans="1:22">
      <c r="A16" s="29">
        <f>level7</f>
        <v>100</v>
      </c>
      <c r="B16" s="113">
        <f>data_and_report!D15</f>
        <v>500</v>
      </c>
      <c r="C16" s="112">
        <f t="shared" si="7"/>
        <v>10000</v>
      </c>
      <c r="D16" s="31">
        <f t="shared" si="0"/>
        <v>50000</v>
      </c>
      <c r="E16" s="29">
        <f t="shared" si="1"/>
        <v>73.214285714285722</v>
      </c>
      <c r="F16" s="26">
        <f t="shared" si="2"/>
        <v>363.3753476190476</v>
      </c>
      <c r="G16" s="29">
        <f t="shared" si="3"/>
        <v>486.92462108099824</v>
      </c>
      <c r="H16" s="29">
        <f t="shared" si="4"/>
        <v>350.29996870004584</v>
      </c>
      <c r="I16" s="29">
        <f t="shared" si="5"/>
        <v>13.075378919001764</v>
      </c>
      <c r="J16" s="31">
        <f>data_and_report!E16</f>
        <v>20</v>
      </c>
      <c r="K16" s="32">
        <f t="shared" si="6"/>
        <v>0.13075378919001765</v>
      </c>
      <c r="L16" s="26"/>
      <c r="M16" s="26"/>
      <c r="N16" s="26"/>
      <c r="O16" s="26"/>
      <c r="P16" s="26"/>
      <c r="Q16" s="26"/>
    </row>
    <row r="17" spans="1:24" s="106" customFormat="1">
      <c r="A17" s="107">
        <f>level1</f>
        <v>0.5</v>
      </c>
      <c r="B17" s="108">
        <f>data_and_report!E3</f>
        <v>33.1526</v>
      </c>
      <c r="C17" s="112">
        <f t="shared" si="7"/>
        <v>0.25</v>
      </c>
      <c r="D17" s="109">
        <f t="shared" si="0"/>
        <v>16.5763</v>
      </c>
      <c r="E17" s="107">
        <f t="shared" si="1"/>
        <v>-26.285714285714285</v>
      </c>
      <c r="F17" s="110">
        <f t="shared" si="2"/>
        <v>-103.47205238095236</v>
      </c>
      <c r="G17" s="107">
        <f t="shared" si="3"/>
        <v>10.858419715960329</v>
      </c>
      <c r="H17" s="107">
        <f t="shared" si="4"/>
        <v>-125.76623266499205</v>
      </c>
      <c r="I17" s="107">
        <f t="shared" si="5"/>
        <v>22.294180284039669</v>
      </c>
      <c r="J17" s="109">
        <f>data_and_report!F4</f>
        <v>3</v>
      </c>
      <c r="K17" s="111">
        <f t="shared" si="6"/>
        <v>44.588360568079338</v>
      </c>
      <c r="L17" s="110"/>
      <c r="M17" s="110"/>
      <c r="N17" s="110"/>
      <c r="O17" s="110"/>
      <c r="P17" s="110"/>
      <c r="Q17" s="110"/>
    </row>
    <row r="18" spans="1:24" s="106" customFormat="1">
      <c r="A18" s="107">
        <f>level2</f>
        <v>2</v>
      </c>
      <c r="B18" s="108">
        <f>data_and_report!E5</f>
        <v>40.311599999999999</v>
      </c>
      <c r="C18" s="112">
        <f t="shared" si="7"/>
        <v>4</v>
      </c>
      <c r="D18" s="109">
        <f t="shared" si="0"/>
        <v>80.623199999999997</v>
      </c>
      <c r="E18" s="107">
        <f t="shared" si="1"/>
        <v>-24.785714285714285</v>
      </c>
      <c r="F18" s="110">
        <f t="shared" si="2"/>
        <v>-96.313052380952371</v>
      </c>
      <c r="G18" s="107">
        <f t="shared" si="3"/>
        <v>18.035297123473462</v>
      </c>
      <c r="H18" s="107">
        <f t="shared" si="4"/>
        <v>-118.5893552574789</v>
      </c>
      <c r="I18" s="107">
        <f t="shared" si="5"/>
        <v>22.276302876526536</v>
      </c>
      <c r="J18" s="109">
        <f>data_and_report!F6</f>
        <v>6</v>
      </c>
      <c r="K18" s="111">
        <f t="shared" si="6"/>
        <v>11.138151438263268</v>
      </c>
      <c r="L18" s="110"/>
      <c r="M18" s="110"/>
      <c r="N18" s="110"/>
      <c r="O18" s="110"/>
      <c r="P18" s="110"/>
      <c r="Q18" s="110"/>
    </row>
    <row r="19" spans="1:24" s="106" customFormat="1">
      <c r="A19" s="107">
        <f>level3</f>
        <v>5</v>
      </c>
      <c r="B19" s="112">
        <f>data_and_report!E7</f>
        <v>45.018799999999999</v>
      </c>
      <c r="C19" s="112">
        <f t="shared" si="7"/>
        <v>25</v>
      </c>
      <c r="D19" s="109">
        <f t="shared" si="0"/>
        <v>225.09399999999999</v>
      </c>
      <c r="E19" s="107">
        <f t="shared" si="1"/>
        <v>-21.785714285714285</v>
      </c>
      <c r="F19" s="110">
        <f t="shared" si="2"/>
        <v>-91.605852380952371</v>
      </c>
      <c r="G19" s="107">
        <f t="shared" si="3"/>
        <v>32.389051938499733</v>
      </c>
      <c r="H19" s="107">
        <f t="shared" si="4"/>
        <v>-104.23560044245264</v>
      </c>
      <c r="I19" s="107">
        <f t="shared" si="5"/>
        <v>12.629748061500266</v>
      </c>
      <c r="J19" s="109">
        <f>data_and_report!F8</f>
        <v>9</v>
      </c>
      <c r="K19" s="111">
        <f t="shared" si="6"/>
        <v>2.5259496123000531</v>
      </c>
      <c r="L19" s="110"/>
      <c r="M19" s="110"/>
      <c r="N19" s="110"/>
      <c r="O19" s="110"/>
      <c r="P19" s="110"/>
      <c r="Q19" s="110"/>
    </row>
    <row r="20" spans="1:24" s="106" customFormat="1">
      <c r="A20" s="107">
        <f>level4</f>
        <v>10</v>
      </c>
      <c r="B20" s="108">
        <f>data_and_report!E9</f>
        <v>49.794499999999999</v>
      </c>
      <c r="C20" s="112">
        <f t="shared" si="7"/>
        <v>100</v>
      </c>
      <c r="D20" s="109">
        <f t="shared" si="0"/>
        <v>497.94499999999999</v>
      </c>
      <c r="E20" s="107">
        <f t="shared" si="1"/>
        <v>-16.785714285714285</v>
      </c>
      <c r="F20" s="110">
        <f t="shared" si="2"/>
        <v>-86.83015238095237</v>
      </c>
      <c r="G20" s="107">
        <f t="shared" si="3"/>
        <v>56.311976630210175</v>
      </c>
      <c r="H20" s="107">
        <f t="shared" si="4"/>
        <v>-80.312675750742187</v>
      </c>
      <c r="I20" s="107">
        <f t="shared" si="5"/>
        <v>-6.5174766302101759</v>
      </c>
      <c r="J20" s="109">
        <f>data_and_report!F10</f>
        <v>12</v>
      </c>
      <c r="K20" s="111">
        <f t="shared" si="6"/>
        <v>-0.65174766302101761</v>
      </c>
      <c r="L20" s="110"/>
      <c r="M20" s="110"/>
      <c r="N20" s="110"/>
      <c r="O20" s="110"/>
      <c r="P20" s="110"/>
      <c r="Q20" s="110"/>
    </row>
    <row r="21" spans="1:24" s="106" customFormat="1">
      <c r="A21" s="107">
        <f>level5</f>
        <v>20</v>
      </c>
      <c r="B21" s="112">
        <f>data_and_report!E11</f>
        <v>54</v>
      </c>
      <c r="C21" s="112">
        <f t="shared" si="7"/>
        <v>400</v>
      </c>
      <c r="D21" s="109">
        <f t="shared" si="0"/>
        <v>1080</v>
      </c>
      <c r="E21" s="107">
        <f t="shared" si="1"/>
        <v>-6.7857142857142847</v>
      </c>
      <c r="F21" s="110">
        <f t="shared" si="2"/>
        <v>-82.624652380952369</v>
      </c>
      <c r="G21" s="107">
        <f t="shared" si="3"/>
        <v>104.15782601363107</v>
      </c>
      <c r="H21" s="107">
        <f t="shared" si="4"/>
        <v>-32.466826367321303</v>
      </c>
      <c r="I21" s="107">
        <f t="shared" si="5"/>
        <v>-50.157826013631066</v>
      </c>
      <c r="J21" s="109">
        <f>data_and_report!F12</f>
        <v>15</v>
      </c>
      <c r="K21" s="111">
        <f t="shared" si="6"/>
        <v>-2.5078913006815533</v>
      </c>
      <c r="L21" s="110"/>
      <c r="M21" s="110"/>
      <c r="N21" s="110"/>
      <c r="O21" s="110"/>
      <c r="P21" s="110"/>
      <c r="Q21" s="110"/>
    </row>
    <row r="22" spans="1:24" s="106" customFormat="1">
      <c r="A22" s="107">
        <f>level6</f>
        <v>50</v>
      </c>
      <c r="B22" s="112">
        <f>data_and_report!E13</f>
        <v>249</v>
      </c>
      <c r="C22" s="112">
        <f t="shared" si="7"/>
        <v>2500</v>
      </c>
      <c r="D22" s="109">
        <f t="shared" si="0"/>
        <v>12450</v>
      </c>
      <c r="E22" s="107">
        <f t="shared" si="1"/>
        <v>23.214285714285715</v>
      </c>
      <c r="F22" s="110">
        <f t="shared" si="2"/>
        <v>112.37534761904763</v>
      </c>
      <c r="G22" s="107">
        <f t="shared" si="3"/>
        <v>247.69537416389375</v>
      </c>
      <c r="H22" s="107">
        <f t="shared" si="4"/>
        <v>111.07072178294138</v>
      </c>
      <c r="I22" s="107">
        <f t="shared" si="5"/>
        <v>1.3046258361062542</v>
      </c>
      <c r="J22" s="109">
        <f>data_and_report!F14</f>
        <v>18</v>
      </c>
      <c r="K22" s="111">
        <f t="shared" si="6"/>
        <v>2.6092516722125082E-2</v>
      </c>
      <c r="L22" s="110"/>
      <c r="M22" s="110"/>
      <c r="N22" s="110"/>
      <c r="O22" s="110"/>
      <c r="P22" s="110"/>
      <c r="Q22" s="110"/>
    </row>
    <row r="23" spans="1:24" s="106" customFormat="1">
      <c r="A23" s="107">
        <f>level7</f>
        <v>100</v>
      </c>
      <c r="B23" s="112">
        <f>data_and_report!E15</f>
        <v>495</v>
      </c>
      <c r="C23" s="112">
        <f t="shared" si="7"/>
        <v>10000</v>
      </c>
      <c r="D23" s="109">
        <f t="shared" si="0"/>
        <v>49500</v>
      </c>
      <c r="E23" s="107">
        <f t="shared" si="1"/>
        <v>73.214285714285722</v>
      </c>
      <c r="F23" s="110">
        <f t="shared" si="2"/>
        <v>358.3753476190476</v>
      </c>
      <c r="G23" s="107">
        <f t="shared" si="3"/>
        <v>486.92462108099824</v>
      </c>
      <c r="H23" s="107">
        <f t="shared" si="4"/>
        <v>350.29996870004584</v>
      </c>
      <c r="I23" s="107">
        <f t="shared" si="5"/>
        <v>8.0753789190017642</v>
      </c>
      <c r="J23" s="109">
        <f>data_and_report!F16</f>
        <v>21</v>
      </c>
      <c r="K23" s="111">
        <f t="shared" si="6"/>
        <v>8.0753789190017647E-2</v>
      </c>
      <c r="L23" s="110"/>
      <c r="M23" s="110"/>
      <c r="N23" s="110"/>
      <c r="O23" s="110"/>
      <c r="P23" s="110"/>
      <c r="Q23" s="110"/>
    </row>
    <row r="24" spans="1:24">
      <c r="A24" s="37">
        <f>AVERAGE(A3:A23)</f>
        <v>26.785714285714285</v>
      </c>
      <c r="B24" s="37">
        <f>AVERAGE(B3:B23)</f>
        <v>136.62465238095237</v>
      </c>
      <c r="C24" s="37">
        <f>AVERAGE(C3:C23)</f>
        <v>1861.3214285714287</v>
      </c>
      <c r="D24" s="37">
        <f>AVERAGE(D3:D23)</f>
        <v>9132.4217380952377</v>
      </c>
      <c r="E24" s="37"/>
      <c r="G24" s="26">
        <f>AVERAGE(G3:G23)</f>
        <v>136.62465238095237</v>
      </c>
      <c r="H24" s="26"/>
      <c r="I24" s="26"/>
      <c r="J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1:24">
      <c r="A25" s="26">
        <f>COUNT(A3:A23)</f>
        <v>21</v>
      </c>
      <c r="B25" s="26"/>
      <c r="C25" s="26"/>
      <c r="D25" s="26">
        <f>SUMPRODUCT(alle_x_data,alle_y_data)</f>
        <v>191780.85649999999</v>
      </c>
      <c r="E25" s="26"/>
      <c r="F25" s="26"/>
      <c r="G25" s="26"/>
      <c r="H25" s="26"/>
      <c r="I25" s="26" t="s">
        <v>27</v>
      </c>
      <c r="J25" s="26">
        <f>A3</f>
        <v>0.5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6">
      <c r="A26" s="26" t="s">
        <v>25</v>
      </c>
      <c r="B26" s="26">
        <f>INDEX(LINEST(alle_y_data,alle_x_data,1,1),4,2)</f>
        <v>19</v>
      </c>
      <c r="C26" s="77" t="s">
        <v>152</v>
      </c>
      <c r="D26" s="89">
        <f>TINV(0.025,dfree)</f>
        <v>2.4334402113749696</v>
      </c>
      <c r="E26" s="75" t="s">
        <v>144</v>
      </c>
      <c r="F26" s="78">
        <f>SLOPE(alle_y_data,alle_x_data)</f>
        <v>4.7845849383420891</v>
      </c>
      <c r="G26" s="84"/>
      <c r="I26" s="26" t="s">
        <v>28</v>
      </c>
      <c r="J26" s="26">
        <f>A23</f>
        <v>100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4" ht="16">
      <c r="A27" s="26" t="s">
        <v>11</v>
      </c>
      <c r="B27" s="26">
        <f>SUMPRODUCT(alle_x_data,alle_y_data)-Ndata*ymean*xmean</f>
        <v>114929.4895357143</v>
      </c>
      <c r="C27" s="77" t="s">
        <v>153</v>
      </c>
      <c r="D27" s="89">
        <f>TINV(0.005,dfree)</f>
        <v>3.1737245307923159</v>
      </c>
      <c r="E27" s="75" t="s">
        <v>145</v>
      </c>
      <c r="F27" s="78">
        <f>INTERCEPT(alle_y_data,alle_x_data)</f>
        <v>8.4661272467892843</v>
      </c>
      <c r="G27" s="84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4" ht="16">
      <c r="A28" s="26" t="s">
        <v>12</v>
      </c>
      <c r="B28" s="26">
        <f>SUMSQ(E3:E23)</f>
        <v>24020.785714285717</v>
      </c>
      <c r="C28" s="26"/>
      <c r="D28" s="54"/>
      <c r="E28" s="76"/>
      <c r="F28" s="76"/>
      <c r="G28" s="83"/>
      <c r="H28" s="133" t="s">
        <v>154</v>
      </c>
      <c r="I28" s="133"/>
      <c r="J28" s="133"/>
      <c r="K28" s="133"/>
      <c r="L28" s="133"/>
      <c r="M28" s="26"/>
      <c r="N28" s="26"/>
      <c r="O28" s="63" t="s">
        <v>170</v>
      </c>
      <c r="P28" s="26"/>
      <c r="Q28" s="26"/>
      <c r="R28" s="26"/>
      <c r="S28" s="26"/>
      <c r="T28" s="26"/>
      <c r="U28" s="26"/>
      <c r="V28" s="26"/>
      <c r="W28" s="26"/>
    </row>
    <row r="29" spans="1:24" ht="18">
      <c r="A29" s="26" t="s">
        <v>15</v>
      </c>
      <c r="B29" s="26">
        <f>SUMSQ(F3:F23)</f>
        <v>567245.93123477232</v>
      </c>
      <c r="C29" s="26"/>
      <c r="D29" s="54"/>
      <c r="E29" s="75"/>
      <c r="F29" s="79" t="s">
        <v>143</v>
      </c>
      <c r="G29" s="85"/>
      <c r="H29" s="53" t="s">
        <v>26</v>
      </c>
      <c r="I29" s="53" t="s">
        <v>157</v>
      </c>
      <c r="J29" s="53" t="s">
        <v>158</v>
      </c>
      <c r="K29" s="53" t="s">
        <v>156</v>
      </c>
      <c r="L29" s="53" t="s">
        <v>155</v>
      </c>
      <c r="M29" s="26"/>
      <c r="O29" s="75"/>
      <c r="P29" s="79" t="s">
        <v>143</v>
      </c>
      <c r="Q29" s="26"/>
      <c r="R29" s="26"/>
      <c r="S29" s="26"/>
      <c r="T29" s="26"/>
      <c r="U29" s="26"/>
      <c r="V29" s="26"/>
      <c r="W29" s="26"/>
    </row>
    <row r="30" spans="1:24" ht="16">
      <c r="A30" s="26" t="s">
        <v>18</v>
      </c>
      <c r="B30" s="26">
        <f>SUMSQ(H3:H23)</f>
        <v>549889.90460392321</v>
      </c>
      <c r="C30" s="38" t="s">
        <v>24</v>
      </c>
      <c r="D30" s="54"/>
      <c r="E30" s="75" t="s">
        <v>146</v>
      </c>
      <c r="F30" s="80">
        <f>INDEX(LINEST(alle_y_data,alle_x_data,1,1),2,1)</f>
        <v>0.19500904207111303</v>
      </c>
      <c r="G30" s="84"/>
      <c r="H30" s="26">
        <f>Xstart</f>
        <v>0.5</v>
      </c>
      <c r="I30" s="26">
        <f>slope*$H30+intercept-tval_95*sqrtsquare*SQRT(1+1/Ndata+($H30-xmean)^2/S_xx)</f>
        <v>-65.446492922214716</v>
      </c>
      <c r="J30" s="26">
        <f>slope*$H30+intercept+tval_95*sqrtsquare*SQRT(1+1/Ndata+($H30-xmean)^2/S_xx)</f>
        <v>87.163332354135363</v>
      </c>
      <c r="K30" s="26">
        <f>slope*$H30+intercept-tval_99*sqrtsquare*SQRT(1+1/Ndata+($H30-xmean)^2/S_xx)</f>
        <v>-88.659444716347508</v>
      </c>
      <c r="L30" s="26">
        <f>slope*$H30+intercept+tval_99*sqrtsquare*SQRT(1+1/Ndata+($H30-xmean)^2/S_xx)</f>
        <v>110.37628414826816</v>
      </c>
      <c r="M30" s="26"/>
      <c r="N30" s="26">
        <f>INDEX(LINEST(alle_y_data,alle_x_quad,1,1),1,1)</f>
        <v>4.6841955055594783E-2</v>
      </c>
      <c r="Q30" s="26"/>
      <c r="R30" s="26"/>
      <c r="S30" s="26"/>
      <c r="T30" s="26"/>
      <c r="U30" s="26"/>
      <c r="V30" s="26"/>
      <c r="W30" s="26"/>
    </row>
    <row r="31" spans="1:24" ht="16">
      <c r="A31" s="26" t="s">
        <v>19</v>
      </c>
      <c r="B31" s="26">
        <f>SUMSQ(Residualer)</f>
        <v>17356.02663084889</v>
      </c>
      <c r="C31" s="26"/>
      <c r="D31" s="54"/>
      <c r="E31" s="75" t="s">
        <v>147</v>
      </c>
      <c r="F31" s="81">
        <f>INDEX(LINEST(alle_y_data,alle_x_data,1,1),2,2)</f>
        <v>8.4132818359953809</v>
      </c>
      <c r="G31" s="84"/>
      <c r="H31" s="26">
        <f>H30+(Xstop-Xstart)/50</f>
        <v>2.4900000000000002</v>
      </c>
      <c r="I31" s="26">
        <f t="shared" ref="I31:I80" si="8">slope*$H31+intercept-tval_95*sqrtsquare*SQRT(1+1/Ndata+($H31-xmean)^2/S_xx)</f>
        <v>-55.776494619119106</v>
      </c>
      <c r="J31" s="26">
        <f t="shared" ref="J31:J80" si="9">slope*$H31+intercept+tval_95*sqrtsquare*SQRT(1+1/Ndata+($H31-xmean)^2/S_xx)</f>
        <v>96.535982105641281</v>
      </c>
      <c r="K31" s="26">
        <f t="shared" ref="K31:K80" si="10">slope*$H31+intercept-tval_99*sqrtsquare*SQRT(1+1/Ndata+($H31-xmean)^2/S_xx)</f>
        <v>-78.944217755256858</v>
      </c>
      <c r="L31" s="26">
        <f t="shared" ref="L31:L80" si="11">slope*$H31+intercept+tval_99*sqrtsquare*SQRT(1+1/Ndata+($H31-xmean)^2/S_xx)</f>
        <v>119.70370524177903</v>
      </c>
      <c r="M31" s="26"/>
      <c r="N31" s="26">
        <f>INDEX(LINEST(alle_y_data,alle_x_quad,1,1),2,2)</f>
        <v>9.2514498572679269</v>
      </c>
      <c r="O31" s="75" t="s">
        <v>149</v>
      </c>
      <c r="P31" s="82">
        <f>INDEX(LINEST(alle_y_data,alle_x_data,1,1),3,1)</f>
        <v>0.96940299493542681</v>
      </c>
      <c r="Q31" s="26"/>
      <c r="R31" s="26"/>
      <c r="S31" s="26"/>
      <c r="T31" s="26"/>
      <c r="U31" s="26"/>
      <c r="V31" s="26"/>
      <c r="W31" s="26"/>
    </row>
    <row r="32" spans="1:24" ht="16">
      <c r="A32" s="26" t="s">
        <v>21</v>
      </c>
      <c r="B32" s="26">
        <f>SumSquares/(Ndata-2)</f>
        <v>913.47508583415208</v>
      </c>
      <c r="C32" s="26" t="s">
        <v>29</v>
      </c>
      <c r="D32" s="54">
        <f>SQRT(B32)</f>
        <v>30.223750360174563</v>
      </c>
      <c r="E32" s="75" t="s">
        <v>148</v>
      </c>
      <c r="F32" s="81">
        <f>INDEX(LINEST(alle_y_data,alle_x_data,1,1),3,2)</f>
        <v>30.223750360174574</v>
      </c>
      <c r="G32" s="86"/>
      <c r="H32" s="26">
        <f t="shared" ref="H32:H80" si="12">H31+(Xstop-Xstart)/50</f>
        <v>4.4800000000000004</v>
      </c>
      <c r="I32" s="26">
        <f t="shared" si="8"/>
        <v>-46.117937401511121</v>
      </c>
      <c r="J32" s="26">
        <f t="shared" si="9"/>
        <v>105.92007294263482</v>
      </c>
      <c r="K32" s="26">
        <f t="shared" si="10"/>
        <v>-69.243912407403798</v>
      </c>
      <c r="L32" s="26">
        <f t="shared" si="11"/>
        <v>129.0460479485275</v>
      </c>
      <c r="M32" s="26" t="s">
        <v>21</v>
      </c>
      <c r="N32" s="26">
        <f>INDEX(LINEST(alle_y_data,alle_x_quad,1,1),3,2)</f>
        <v>37.252940769257229</v>
      </c>
      <c r="O32" s="26" t="s">
        <v>29</v>
      </c>
      <c r="P32" s="54">
        <f>SQRT(N32)</f>
        <v>6.1035187203167673</v>
      </c>
      <c r="Q32" s="26"/>
      <c r="R32" s="26"/>
      <c r="S32" s="26"/>
      <c r="T32" s="26"/>
      <c r="U32" s="26"/>
      <c r="V32" s="26"/>
      <c r="W32" s="26"/>
    </row>
    <row r="33" spans="1:23" ht="16">
      <c r="A33" s="26" t="s">
        <v>60</v>
      </c>
      <c r="B33" s="26">
        <f>SQRT(B32)</f>
        <v>30.223750360174563</v>
      </c>
      <c r="C33" s="26"/>
      <c r="D33" s="54"/>
      <c r="E33" s="75" t="s">
        <v>149</v>
      </c>
      <c r="F33" s="82">
        <f>INDEX(LINEST(alle_y_data,alle_x_data,1,1),3,1)</f>
        <v>0.96940299493542681</v>
      </c>
      <c r="G33" s="87"/>
      <c r="H33" s="26">
        <f t="shared" si="12"/>
        <v>6.4700000000000006</v>
      </c>
      <c r="I33" s="26">
        <f t="shared" si="8"/>
        <v>-36.470883334071772</v>
      </c>
      <c r="J33" s="26">
        <f t="shared" si="9"/>
        <v>115.31566692979698</v>
      </c>
      <c r="K33" s="26">
        <f t="shared" si="10"/>
        <v>-59.55860961835657</v>
      </c>
      <c r="L33" s="26">
        <f t="shared" si="11"/>
        <v>138.40339321408177</v>
      </c>
      <c r="M33" s="26"/>
      <c r="N33" s="26" t="s">
        <v>159</v>
      </c>
      <c r="O33" s="26">
        <f>INDEX(LINEST(alle_y_data,alle_x_quad,1,1),4,1)</f>
        <v>389.74294117100135</v>
      </c>
      <c r="P33" s="26"/>
      <c r="Q33" s="26"/>
      <c r="R33" s="26"/>
      <c r="S33" s="26"/>
      <c r="T33" s="26"/>
      <c r="U33" s="26"/>
      <c r="V33" s="26"/>
      <c r="W33" s="26"/>
    </row>
    <row r="34" spans="1:23" ht="16">
      <c r="A34" s="26" t="s">
        <v>22</v>
      </c>
      <c r="B34" s="26">
        <f>SUMSQ(alle_x_data)</f>
        <v>39087.75</v>
      </c>
      <c r="C34" s="26"/>
      <c r="D34" s="54"/>
      <c r="E34" s="75" t="s">
        <v>150</v>
      </c>
      <c r="F34" s="82">
        <f>SQRT(F33)</f>
        <v>0.98458265012919399</v>
      </c>
      <c r="G34" s="87"/>
      <c r="H34" s="26">
        <f t="shared" si="12"/>
        <v>8.4600000000000009</v>
      </c>
      <c r="I34" s="26">
        <f t="shared" si="8"/>
        <v>-26.835389673695381</v>
      </c>
      <c r="J34" s="26">
        <f t="shared" si="9"/>
        <v>124.72282132402211</v>
      </c>
      <c r="K34" s="26">
        <f t="shared" si="10"/>
        <v>-49.888384063305118</v>
      </c>
      <c r="L34" s="26">
        <f t="shared" si="11"/>
        <v>147.77581571363183</v>
      </c>
      <c r="M34" s="26"/>
      <c r="N34" s="63" t="s">
        <v>171</v>
      </c>
      <c r="O34" s="26"/>
      <c r="Q34" s="26"/>
      <c r="R34" s="26"/>
      <c r="S34" s="26"/>
      <c r="T34" s="26"/>
      <c r="U34" s="26"/>
      <c r="V34" s="26"/>
      <c r="W34" s="26"/>
    </row>
    <row r="35" spans="1:23">
      <c r="A35" s="26" t="s">
        <v>23</v>
      </c>
      <c r="B35" s="26">
        <f>SUMSQ(alle_y_data)</f>
        <v>959238.13963730994</v>
      </c>
      <c r="C35" s="26"/>
      <c r="D35" s="26"/>
      <c r="E35" s="26" t="s">
        <v>159</v>
      </c>
      <c r="F35" s="26">
        <f>INDEX(LINEST(alle_y_data,alle_x_data,1,1),4,1)</f>
        <v>601.97580988405798</v>
      </c>
      <c r="G35" s="26"/>
      <c r="H35" s="26">
        <f t="shared" si="12"/>
        <v>10.450000000000001</v>
      </c>
      <c r="I35" s="26">
        <f t="shared" si="8"/>
        <v>-17.211508742319715</v>
      </c>
      <c r="J35" s="26">
        <f t="shared" si="9"/>
        <v>134.14158844724795</v>
      </c>
      <c r="K35" s="26">
        <f t="shared" si="10"/>
        <v>-40.233303981204578</v>
      </c>
      <c r="L35" s="26">
        <f t="shared" si="11"/>
        <v>157.16338368613282</v>
      </c>
      <c r="M35" s="26"/>
      <c r="N35" s="2" t="s">
        <v>172</v>
      </c>
      <c r="O35">
        <f>A9/(Ndata-2)</f>
        <v>5.2631578947368425</v>
      </c>
      <c r="R35" s="26"/>
      <c r="S35" s="26"/>
      <c r="T35" s="26"/>
      <c r="U35" s="26"/>
      <c r="V35" s="26"/>
      <c r="W35" s="26"/>
    </row>
    <row r="36" spans="1:23">
      <c r="A36" s="26" t="s">
        <v>61</v>
      </c>
      <c r="B36" s="26">
        <f>tval_95^2*svalue^2*S_xx/slope^2</f>
        <v>5675926.1842860011</v>
      </c>
      <c r="C36" s="26"/>
      <c r="D36" s="26"/>
      <c r="E36" s="26"/>
      <c r="F36" s="26"/>
      <c r="G36" s="26"/>
      <c r="H36" s="26">
        <f t="shared" si="12"/>
        <v>12.440000000000001</v>
      </c>
      <c r="I36" s="26">
        <f t="shared" si="8"/>
        <v>-7.5992878094680378</v>
      </c>
      <c r="J36" s="26">
        <f t="shared" si="9"/>
        <v>143.57201556899781</v>
      </c>
      <c r="K36" s="26">
        <f t="shared" si="10"/>
        <v>-30.593431021585062</v>
      </c>
      <c r="L36" s="26">
        <f t="shared" si="11"/>
        <v>166.56615878111484</v>
      </c>
      <c r="M36" s="26"/>
      <c r="N36" s="63" t="s">
        <v>173</v>
      </c>
      <c r="O36">
        <f>N32^2/(Ndata-3)</f>
        <v>77.098977553210418</v>
      </c>
      <c r="R36" s="26"/>
      <c r="S36" s="26"/>
      <c r="T36" s="26"/>
      <c r="U36" s="26"/>
      <c r="V36" s="26"/>
      <c r="W36" s="26"/>
    </row>
    <row r="37" spans="1:23">
      <c r="A37" s="26" t="s">
        <v>62</v>
      </c>
      <c r="B37" s="26">
        <f>tval_99^2*svalue^2*S_xx/slope^2</f>
        <v>9654590.0046491623</v>
      </c>
      <c r="C37" s="26"/>
      <c r="D37" s="26"/>
      <c r="E37" s="26"/>
      <c r="F37" s="26"/>
      <c r="G37" s="26"/>
      <c r="H37" s="26">
        <f t="shared" si="12"/>
        <v>14.430000000000001</v>
      </c>
      <c r="I37" s="26">
        <f t="shared" si="8"/>
        <v>2.00123101489487</v>
      </c>
      <c r="J37" s="26">
        <f t="shared" si="9"/>
        <v>153.01414479923639</v>
      </c>
      <c r="K37" s="26">
        <f t="shared" si="10"/>
        <v>-20.968820104813005</v>
      </c>
      <c r="L37" s="26">
        <f t="shared" si="11"/>
        <v>175.98419591894427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>
      <c r="A38" s="26"/>
      <c r="B38" s="26"/>
      <c r="C38" s="26"/>
      <c r="D38" s="26"/>
      <c r="E38" s="26"/>
      <c r="F38" s="26"/>
      <c r="G38" s="26"/>
      <c r="H38" s="26">
        <f t="shared" si="12"/>
        <v>16.420000000000002</v>
      </c>
      <c r="I38" s="26">
        <f t="shared" si="8"/>
        <v>11.590010876635745</v>
      </c>
      <c r="J38" s="26">
        <f t="shared" si="9"/>
        <v>162.46801299209704</v>
      </c>
      <c r="K38" s="26">
        <f t="shared" si="10"/>
        <v>-11.359519296530777</v>
      </c>
      <c r="L38" s="26">
        <f t="shared" si="11"/>
        <v>185.41754316526357</v>
      </c>
      <c r="M38" s="26"/>
      <c r="N38" s="63" t="s">
        <v>174</v>
      </c>
      <c r="O38" s="26">
        <f>ROUND(O35/O36,4)</f>
        <v>6.83E-2</v>
      </c>
      <c r="P38" s="63" t="s">
        <v>175</v>
      </c>
      <c r="Q38" s="26">
        <f>ROUND(FINV(0.05,72-2,72-3),4)</f>
        <v>1.4883</v>
      </c>
      <c r="R38" s="26"/>
      <c r="S38" s="26"/>
      <c r="T38" s="26"/>
      <c r="U38" s="26"/>
      <c r="V38" s="26"/>
      <c r="W38" s="26"/>
    </row>
    <row r="39" spans="1:23">
      <c r="A39" s="26" t="s">
        <v>161</v>
      </c>
      <c r="B39" s="26"/>
      <c r="C39" s="26"/>
      <c r="D39" s="26"/>
      <c r="E39" s="26"/>
      <c r="F39" s="26"/>
      <c r="G39" s="26"/>
      <c r="H39" s="26">
        <f t="shared" si="12"/>
        <v>18.41</v>
      </c>
      <c r="I39" s="26">
        <f t="shared" si="8"/>
        <v>21.167020262348274</v>
      </c>
      <c r="J39" s="26">
        <f t="shared" si="9"/>
        <v>171.93365166098602</v>
      </c>
      <c r="K39" s="26">
        <f t="shared" si="10"/>
        <v>-1.7655696969347474</v>
      </c>
      <c r="L39" s="26">
        <f t="shared" si="11"/>
        <v>194.86624162026902</v>
      </c>
      <c r="M39" s="26"/>
      <c r="N39" s="26"/>
      <c r="O39" s="26" t="str">
        <f>IF(O38&lt;Q38,"2.nd order polynomium not significantly better","2.nd order polynomium  significantly better")</f>
        <v>2.nd order polynomium not significantly better</v>
      </c>
      <c r="P39" s="26"/>
      <c r="Q39" s="26"/>
      <c r="R39" s="26"/>
      <c r="S39" s="26"/>
      <c r="T39" s="26"/>
      <c r="U39" s="26"/>
      <c r="V39" s="26"/>
      <c r="W39" s="26"/>
    </row>
    <row r="40" spans="1:23">
      <c r="A40" s="26" t="s">
        <v>162</v>
      </c>
      <c r="B40" s="26"/>
      <c r="C40" s="26"/>
      <c r="D40" s="26"/>
      <c r="E40" s="26"/>
      <c r="F40" s="26"/>
      <c r="G40" s="26"/>
      <c r="H40" s="26">
        <f t="shared" si="12"/>
        <v>20.399999999999999</v>
      </c>
      <c r="I40" s="26">
        <f t="shared" si="8"/>
        <v>30.732233072419717</v>
      </c>
      <c r="J40" s="26">
        <f t="shared" si="9"/>
        <v>181.41108690551607</v>
      </c>
      <c r="K40" s="26">
        <f t="shared" si="10"/>
        <v>7.8129946545189597</v>
      </c>
      <c r="L40" s="26">
        <f t="shared" si="11"/>
        <v>204.33032532341684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1:23">
      <c r="A41" s="26" t="s">
        <v>163</v>
      </c>
      <c r="B41" s="26"/>
      <c r="C41" s="26"/>
      <c r="D41" s="26"/>
      <c r="E41" s="26"/>
      <c r="F41" s="26"/>
      <c r="G41" s="26"/>
      <c r="H41" s="26">
        <f t="shared" si="12"/>
        <v>22.389999999999997</v>
      </c>
      <c r="I41" s="26">
        <f t="shared" si="8"/>
        <v>40.285628681875991</v>
      </c>
      <c r="J41" s="26">
        <f t="shared" si="9"/>
        <v>190.90033935066128</v>
      </c>
      <c r="K41" s="26">
        <f t="shared" si="10"/>
        <v>17.376146858469582</v>
      </c>
      <c r="L41" s="26">
        <f t="shared" si="11"/>
        <v>213.80982117406771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1:23">
      <c r="A42" s="26"/>
      <c r="B42" s="26"/>
      <c r="C42" s="26"/>
      <c r="D42" s="26"/>
      <c r="E42" s="26"/>
      <c r="F42" s="26"/>
      <c r="G42" s="26"/>
      <c r="H42" s="26">
        <f t="shared" si="12"/>
        <v>24.379999999999995</v>
      </c>
      <c r="I42" s="26">
        <f t="shared" si="8"/>
        <v>49.827191988676617</v>
      </c>
      <c r="J42" s="26">
        <f t="shared" si="9"/>
        <v>200.40142409846217</v>
      </c>
      <c r="K42" s="26">
        <f t="shared" si="10"/>
        <v>26.923867218638534</v>
      </c>
      <c r="L42" s="26">
        <f t="shared" si="11"/>
        <v>223.30474886850027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>
      <c r="A43" s="26" t="s">
        <v>151</v>
      </c>
      <c r="B43" s="26"/>
      <c r="C43" s="26"/>
      <c r="D43" s="26"/>
      <c r="E43" s="26"/>
      <c r="F43" s="26"/>
      <c r="G43" s="26"/>
      <c r="H43" s="26">
        <f t="shared" si="12"/>
        <v>26.369999999999994</v>
      </c>
      <c r="I43" s="26">
        <f t="shared" si="8"/>
        <v>59.356913449196242</v>
      </c>
      <c r="J43" s="26">
        <f t="shared" si="9"/>
        <v>209.91435069254405</v>
      </c>
      <c r="K43" s="26">
        <f t="shared" si="10"/>
        <v>36.456143288104869</v>
      </c>
      <c r="L43" s="26">
        <f t="shared" si="11"/>
        <v>232.81512085363542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>
      <c r="A44" s="41" t="s">
        <v>6</v>
      </c>
      <c r="B44" s="41" t="s">
        <v>49</v>
      </c>
      <c r="C44" s="124" t="s">
        <v>47</v>
      </c>
      <c r="D44" s="125"/>
      <c r="E44" s="126" t="s">
        <v>48</v>
      </c>
      <c r="F44" s="125"/>
      <c r="G44" s="53"/>
      <c r="H44" s="26">
        <f t="shared" si="12"/>
        <v>28.359999999999992</v>
      </c>
      <c r="I44" s="26">
        <f t="shared" si="8"/>
        <v>68.874789100698948</v>
      </c>
      <c r="J44" s="26">
        <f t="shared" si="9"/>
        <v>219.43912309564286</v>
      </c>
      <c r="K44" s="26">
        <f t="shared" si="10"/>
        <v>45.97296989861664</v>
      </c>
      <c r="L44" s="26">
        <f t="shared" si="11"/>
        <v>242.34094229772515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>
      <c r="A45" s="41">
        <v>0</v>
      </c>
      <c r="B45" s="41">
        <f>slope*$A45+intercept</f>
        <v>8.4661272467892843</v>
      </c>
      <c r="C45" s="42">
        <f>slope*$A45+intercept-tval_95*sqrtsquare*SQRT(1+1/Ndata+($A45-xmean)^2/S_xx)</f>
        <v>-67.877931424479129</v>
      </c>
      <c r="D45" s="42">
        <f>slope*$A45+intercept+tval_95*sqrtsquare*SQRT(1+1/Ndata+($A45-xmean)^2/S_xx)</f>
        <v>84.810185918057698</v>
      </c>
      <c r="E45" s="42">
        <f>slope*$A45+intercept-tval_99*sqrtsquare*SQRT(1+1/Ndata+($A45-xmean)^2/S_xx)</f>
        <v>-91.102791953550593</v>
      </c>
      <c r="F45" s="42">
        <f>slope*$A45+intercept+tval_99*sqrtsquare*SQRT(1+1/Ndata+($A45-xmean)^2/S_xx)</f>
        <v>108.03504644712916</v>
      </c>
      <c r="G45" s="54"/>
      <c r="H45" s="26">
        <f t="shared" si="12"/>
        <v>30.349999999999991</v>
      </c>
      <c r="I45" s="26">
        <f t="shared" si="8"/>
        <v>78.380820570681877</v>
      </c>
      <c r="J45" s="26">
        <f t="shared" si="9"/>
        <v>228.97573968026143</v>
      </c>
      <c r="K45" s="26">
        <f t="shared" si="10"/>
        <v>55.474349172776854</v>
      </c>
      <c r="L45" s="26">
        <f t="shared" si="11"/>
        <v>251.88221107816645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>
      <c r="A46" s="26"/>
      <c r="B46" s="26"/>
      <c r="C46" s="26"/>
      <c r="D46" s="26"/>
      <c r="E46" s="26"/>
      <c r="F46" s="26"/>
      <c r="G46" s="26"/>
      <c r="H46" s="26">
        <f t="shared" si="12"/>
        <v>32.339999999999989</v>
      </c>
      <c r="I46" s="26">
        <f t="shared" si="8"/>
        <v>87.875015073037019</v>
      </c>
      <c r="J46" s="26">
        <f t="shared" si="9"/>
        <v>238.52419323250777</v>
      </c>
      <c r="K46" s="26">
        <f t="shared" si="10"/>
        <v>64.96029051903777</v>
      </c>
      <c r="L46" s="26">
        <f t="shared" si="11"/>
        <v>261.43891778650703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1:23">
      <c r="A47" s="41" t="s">
        <v>7</v>
      </c>
      <c r="B47" s="41" t="s">
        <v>50</v>
      </c>
      <c r="C47" s="124" t="s">
        <v>47</v>
      </c>
      <c r="D47" s="125"/>
      <c r="E47" s="126" t="s">
        <v>48</v>
      </c>
      <c r="F47" s="125"/>
      <c r="G47" s="53"/>
      <c r="H47" s="26">
        <f t="shared" si="12"/>
        <v>34.329999999999991</v>
      </c>
      <c r="I47" s="26">
        <f t="shared" si="8"/>
        <v>97.35738539105202</v>
      </c>
      <c r="J47" s="26">
        <f t="shared" si="9"/>
        <v>248.08447096909433</v>
      </c>
      <c r="K47" s="26">
        <f t="shared" si="10"/>
        <v>74.430810609530184</v>
      </c>
      <c r="L47" s="26">
        <f t="shared" si="11"/>
        <v>271.01104575061618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1:23">
      <c r="A48" s="41">
        <v>0</v>
      </c>
      <c r="B48" s="41">
        <f>($A48-intercept)/slope</f>
        <v>-1.76945907657413</v>
      </c>
      <c r="C48" s="42">
        <f>$B$48+(($B$48-xmean)*gval_95-ABS((tval_95*svalue/slope))*SQRT(($B$48-xmean)^2/S_xx+(Ndata+6)*(1-gval_95)/Ndata/6))/(1-gval_95)</f>
        <v>-9.4281223129969352</v>
      </c>
      <c r="D48" s="42">
        <f>$B$48+(($B$48-xmean)*gval_95+ABS((tval_95*svalue/slope))*SQRT(($B$48-xmean)^2/S_xx+(Ndata+6)*(1-gval_95)/Ndata/6))/(1-gval_95)</f>
        <v>5.8892041598486742</v>
      </c>
      <c r="E48" s="42">
        <f>$B$48+(($B$48-xmean)*gval_99-ABS((tval_99*svalue/slope))*SQRT(($B$48-xmean)^2/S_xx+(Ndata+6)*(1-gval_99)/Ndata/6))/(1-gval_99)</f>
        <v>-11.757987774708198</v>
      </c>
      <c r="F48" s="42">
        <f>$B$48+(($B$48-xmean)*gval_99+ABS((tval_95*svalue/slope))*SQRT(($B$48-xmean)^2/S_xx+(Ndata+6)*(1-gval_99)/Ndata/6))/(1-gval_99)</f>
        <v>5.8892041598486742</v>
      </c>
      <c r="G48" s="54"/>
      <c r="H48" s="26">
        <f t="shared" si="12"/>
        <v>36.319999999999993</v>
      </c>
      <c r="I48" s="26">
        <f t="shared" si="8"/>
        <v>106.82794984734348</v>
      </c>
      <c r="J48" s="26">
        <f t="shared" si="9"/>
        <v>257.65655456740438</v>
      </c>
      <c r="K48" s="26">
        <f t="shared" si="10"/>
        <v>83.885933340850173</v>
      </c>
      <c r="L48" s="26">
        <f t="shared" si="11"/>
        <v>280.59857107389769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:23">
      <c r="A49" s="26"/>
      <c r="B49" s="26"/>
      <c r="C49" s="14"/>
      <c r="D49" s="26"/>
      <c r="E49" s="14"/>
      <c r="F49" s="26"/>
      <c r="G49" s="26"/>
      <c r="H49" s="26">
        <f t="shared" si="12"/>
        <v>38.309999999999995</v>
      </c>
      <c r="I49" s="26">
        <f t="shared" si="8"/>
        <v>116.28673226088755</v>
      </c>
      <c r="J49" s="26">
        <f t="shared" si="9"/>
        <v>267.24042020846184</v>
      </c>
      <c r="K49" s="26">
        <f t="shared" si="10"/>
        <v>93.325689778017789</v>
      </c>
      <c r="L49" s="26">
        <f t="shared" si="11"/>
        <v>290.20146269133159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:23">
      <c r="A50" s="26"/>
      <c r="B50" s="26"/>
      <c r="C50" s="26"/>
      <c r="D50" s="26"/>
      <c r="E50" s="26"/>
      <c r="F50" s="26"/>
      <c r="G50" s="26"/>
      <c r="H50" s="26">
        <f t="shared" si="12"/>
        <v>40.299999999999997</v>
      </c>
      <c r="I50" s="26">
        <f t="shared" si="8"/>
        <v>125.73376189138193</v>
      </c>
      <c r="J50" s="26">
        <f t="shared" si="9"/>
        <v>276.83603863256894</v>
      </c>
      <c r="K50" s="26">
        <f t="shared" si="10"/>
        <v>102.75011808191321</v>
      </c>
      <c r="L50" s="26">
        <f t="shared" si="11"/>
        <v>299.81968244203767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:23">
      <c r="A51" s="26"/>
      <c r="B51" s="26"/>
      <c r="C51" s="26"/>
      <c r="D51" s="26"/>
      <c r="E51" s="26"/>
      <c r="F51" s="26"/>
      <c r="G51" s="26"/>
      <c r="H51" s="26">
        <f t="shared" si="12"/>
        <v>42.29</v>
      </c>
      <c r="I51" s="26">
        <f t="shared" si="8"/>
        <v>135.16907337124144</v>
      </c>
      <c r="J51" s="26">
        <f t="shared" si="9"/>
        <v>286.44337520731102</v>
      </c>
      <c r="K51" s="26">
        <f t="shared" si="10"/>
        <v>112.15926342058452</v>
      </c>
      <c r="L51" s="26">
        <f t="shared" si="11"/>
        <v>309.45318515796794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3">
      <c r="A52" s="41" t="s">
        <v>53</v>
      </c>
      <c r="B52" s="44" t="s">
        <v>64</v>
      </c>
      <c r="C52" s="41" t="s">
        <v>50</v>
      </c>
      <c r="D52" s="126" t="s">
        <v>47</v>
      </c>
      <c r="E52" s="129"/>
      <c r="F52" s="126" t="s">
        <v>48</v>
      </c>
      <c r="G52" s="129"/>
      <c r="H52" s="26">
        <f t="shared" si="12"/>
        <v>44.28</v>
      </c>
      <c r="I52" s="26">
        <f t="shared" si="8"/>
        <v>144.59270662559297</v>
      </c>
      <c r="J52" s="26">
        <f t="shared" si="9"/>
        <v>296.06239000756102</v>
      </c>
      <c r="K52" s="26">
        <f t="shared" si="10"/>
        <v>121.55317786490403</v>
      </c>
      <c r="L52" s="26">
        <f t="shared" si="11"/>
        <v>319.10191876825002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3">
      <c r="A53" s="41">
        <f>maalt_Y</f>
        <v>327000</v>
      </c>
      <c r="B53" s="44">
        <f>'Measured data'!D2</f>
        <v>6</v>
      </c>
      <c r="C53" s="41">
        <f>($A53-intercept)/slope</f>
        <v>68342.71688905565</v>
      </c>
      <c r="D53" s="42">
        <f>$C53+(($C53-xmean)*gval_95-ABS((tval_95*svalue/slope))*SQRT(($C53-xmean)^2/S_xx+(Ndata+$B53)*(1-gval_95)/Ndata/$B53))/(1-gval_95)</f>
        <v>61567.029007364021</v>
      </c>
      <c r="E53" s="42">
        <f>$C53+(($C53-xmean)*gval_95+ABS((tval_95*svalue/slope))*SQRT(($C53-xmean)^2/S_xx+(Ndata+$B53)*(1-gval_95)/Ndata/$B53))/(1-gval_95)</f>
        <v>75118.404770747278</v>
      </c>
      <c r="F53" s="42">
        <f>$C53+(($C53-xmean)*gval_99-ABS((tval_99*svalue/slope))*SQRT(($C53-xmean)^2/S_xx+(Ndata+$B53)*(1-gval_99)/Ndata/$B53))/(1-gval_99)</f>
        <v>59505.776189794989</v>
      </c>
      <c r="G53" s="42">
        <f>$C53+(($C53-xmean)*gval_99+ABS((tval_99*svalue/slope))*SQRT(($C53-xmean)^2/S_xx+(Ndata+$B53)*(1-gval_99)/Ndata/$B53))/(1-gval_99)</f>
        <v>77179.657588316302</v>
      </c>
      <c r="H53" s="26">
        <f t="shared" si="12"/>
        <v>46.27</v>
      </c>
      <c r="I53" s="26">
        <f t="shared" si="8"/>
        <v>154.00470678069746</v>
      </c>
      <c r="J53" s="26">
        <f t="shared" si="9"/>
        <v>305.69303790705806</v>
      </c>
      <c r="K53" s="26">
        <f t="shared" si="10"/>
        <v>130.93192026913118</v>
      </c>
      <c r="L53" s="26">
        <f t="shared" si="11"/>
        <v>328.76582441862433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3">
      <c r="A54" s="27"/>
      <c r="C54" s="26"/>
      <c r="D54" s="14"/>
      <c r="E54" s="26"/>
      <c r="F54" s="14"/>
      <c r="G54" s="26"/>
      <c r="H54" s="26">
        <f t="shared" si="12"/>
        <v>48.260000000000005</v>
      </c>
      <c r="I54" s="26">
        <f t="shared" si="8"/>
        <v>163.40512406128315</v>
      </c>
      <c r="J54" s="26">
        <f t="shared" si="9"/>
        <v>315.3352686810739</v>
      </c>
      <c r="K54" s="26">
        <f t="shared" si="10"/>
        <v>140.29555613701291</v>
      </c>
      <c r="L54" s="26">
        <f t="shared" si="11"/>
        <v>338.44483660534416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:23">
      <c r="A55" s="27"/>
      <c r="B55" s="26"/>
      <c r="C55" s="26"/>
      <c r="D55" s="26"/>
      <c r="E55" s="26"/>
      <c r="F55" s="26"/>
      <c r="G55" s="26"/>
      <c r="H55" s="26">
        <f t="shared" si="12"/>
        <v>50.250000000000007</v>
      </c>
      <c r="I55" s="26">
        <f t="shared" si="8"/>
        <v>172.79401367732572</v>
      </c>
      <c r="J55" s="26">
        <f t="shared" si="9"/>
        <v>324.98902711963285</v>
      </c>
      <c r="K55" s="26">
        <f t="shared" si="10"/>
        <v>149.64415747412124</v>
      </c>
      <c r="L55" s="26">
        <f t="shared" si="11"/>
        <v>348.13888332283733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>
      <c r="A56" s="26"/>
      <c r="B56" s="26"/>
      <c r="C56" s="26"/>
      <c r="D56" s="26"/>
      <c r="E56" s="26"/>
      <c r="F56" s="26"/>
      <c r="G56" s="26"/>
      <c r="H56" s="26">
        <f t="shared" si="12"/>
        <v>52.240000000000009</v>
      </c>
      <c r="I56" s="26">
        <f t="shared" si="8"/>
        <v>182.17143570086063</v>
      </c>
      <c r="J56" s="26">
        <f t="shared" si="9"/>
        <v>334.6542531506995</v>
      </c>
      <c r="K56" s="26">
        <f t="shared" si="10"/>
        <v>158.97780262718993</v>
      </c>
      <c r="L56" s="26">
        <f t="shared" si="11"/>
        <v>357.8478862243702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:23">
      <c r="A57" s="26"/>
      <c r="B57" s="26"/>
      <c r="C57" s="26"/>
      <c r="D57" s="26"/>
      <c r="E57" s="26"/>
      <c r="F57" s="26"/>
      <c r="G57" s="26"/>
      <c r="H57" s="26">
        <f t="shared" si="12"/>
        <v>54.230000000000011</v>
      </c>
      <c r="I57" s="26">
        <f t="shared" si="8"/>
        <v>191.53745493345167</v>
      </c>
      <c r="J57" s="26">
        <f t="shared" si="9"/>
        <v>344.33088197270996</v>
      </c>
      <c r="K57" s="26">
        <f t="shared" si="10"/>
        <v>168.29657611126558</v>
      </c>
      <c r="L57" s="26">
        <f t="shared" si="11"/>
        <v>367.57176079489602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:23">
      <c r="A58" s="26"/>
      <c r="B58" s="26"/>
      <c r="C58" s="26"/>
      <c r="D58" s="26"/>
      <c r="E58" s="26"/>
      <c r="F58" s="26"/>
      <c r="G58" s="26"/>
      <c r="H58" s="26">
        <f t="shared" si="12"/>
        <v>56.220000000000013</v>
      </c>
      <c r="I58" s="26">
        <f t="shared" si="8"/>
        <v>200.8921407649807</v>
      </c>
      <c r="J58" s="26">
        <f t="shared" si="9"/>
        <v>354.01884419578255</v>
      </c>
      <c r="K58" s="26">
        <f t="shared" si="10"/>
        <v>177.600568425539</v>
      </c>
      <c r="L58" s="26">
        <f t="shared" si="11"/>
        <v>377.31041653522425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>
      <c r="A59" s="26"/>
      <c r="B59" s="26"/>
      <c r="C59" s="26"/>
      <c r="D59" s="26"/>
      <c r="E59" s="26"/>
      <c r="F59" s="26"/>
      <c r="G59" s="26"/>
      <c r="H59" s="26">
        <f t="shared" si="12"/>
        <v>58.210000000000015</v>
      </c>
      <c r="I59" s="26">
        <f t="shared" si="8"/>
        <v>210.23556702444853</v>
      </c>
      <c r="J59" s="26">
        <f t="shared" si="9"/>
        <v>363.7180659909161</v>
      </c>
      <c r="K59" s="26">
        <f t="shared" si="10"/>
        <v>186.8898758587581</v>
      </c>
      <c r="L59" s="26">
        <f t="shared" si="11"/>
        <v>387.06375715660653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>
      <c r="A60" s="26"/>
      <c r="B60" s="26"/>
      <c r="C60" s="26"/>
      <c r="D60" s="26"/>
      <c r="E60" s="26"/>
      <c r="F60" s="26"/>
      <c r="G60" s="26"/>
      <c r="H60" s="26">
        <f t="shared" si="12"/>
        <v>60.200000000000017</v>
      </c>
      <c r="I60" s="26">
        <f t="shared" si="8"/>
        <v>219.56781182350863</v>
      </c>
      <c r="J60" s="26">
        <f t="shared" si="9"/>
        <v>373.42846924645761</v>
      </c>
      <c r="K60" s="26">
        <f t="shared" si="10"/>
        <v>196.16460028516229</v>
      </c>
      <c r="L60" s="26">
        <f t="shared" si="11"/>
        <v>396.83168078480395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>
      <c r="A61" s="26"/>
      <c r="B61" s="26"/>
      <c r="C61" s="26"/>
      <c r="D61" s="26"/>
      <c r="E61" s="26"/>
      <c r="F61" s="26"/>
      <c r="G61" s="26"/>
      <c r="H61" s="26">
        <f t="shared" si="12"/>
        <v>62.190000000000019</v>
      </c>
      <c r="I61" s="26">
        <f t="shared" si="8"/>
        <v>228.8889573934668</v>
      </c>
      <c r="J61" s="26">
        <f t="shared" si="9"/>
        <v>383.14997173110106</v>
      </c>
      <c r="K61" s="26">
        <f t="shared" si="10"/>
        <v>205.42484895189551</v>
      </c>
      <c r="L61" s="26">
        <f t="shared" si="11"/>
        <v>406.61408017267235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>
      <c r="A62" s="26"/>
      <c r="B62" s="26"/>
      <c r="C62" s="26"/>
      <c r="D62" s="26"/>
      <c r="E62" s="26"/>
      <c r="F62" s="26"/>
      <c r="G62" s="26"/>
      <c r="H62" s="26">
        <f t="shared" si="12"/>
        <v>64.180000000000021</v>
      </c>
      <c r="I62" s="26">
        <f t="shared" si="8"/>
        <v>238.19908991649999</v>
      </c>
      <c r="J62" s="26">
        <f t="shared" si="9"/>
        <v>392.88248726266926</v>
      </c>
      <c r="K62" s="26">
        <f t="shared" si="10"/>
        <v>214.67073425887932</v>
      </c>
      <c r="L62" s="26">
        <f t="shared" si="11"/>
        <v>416.41084292028995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>
      <c r="A63" s="26"/>
      <c r="B63" s="26"/>
      <c r="C63" s="26"/>
      <c r="D63" s="26"/>
      <c r="E63" s="26"/>
      <c r="F63" s="26"/>
      <c r="G63" s="26"/>
      <c r="H63" s="26">
        <f t="shared" si="12"/>
        <v>66.170000000000016</v>
      </c>
      <c r="I63" s="26">
        <f t="shared" si="8"/>
        <v>247.49829935184965</v>
      </c>
      <c r="J63" s="26">
        <f t="shared" si="9"/>
        <v>402.62592588192121</v>
      </c>
      <c r="K63" s="26">
        <f t="shared" si="10"/>
        <v>223.90237353213229</v>
      </c>
      <c r="L63" s="26">
        <f t="shared" si="11"/>
        <v>426.22185170163857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>
      <c r="A64" s="26"/>
      <c r="B64" s="26"/>
      <c r="C64" s="26"/>
      <c r="D64" s="26"/>
      <c r="E64" s="26"/>
      <c r="F64" s="26"/>
      <c r="G64" s="26"/>
      <c r="H64" s="26">
        <f t="shared" si="12"/>
        <v>68.160000000000011</v>
      </c>
      <c r="I64" s="26">
        <f t="shared" si="8"/>
        <v>256.78667925774812</v>
      </c>
      <c r="J64" s="26">
        <f t="shared" si="9"/>
        <v>412.38019403062412</v>
      </c>
      <c r="K64" s="26">
        <f t="shared" si="10"/>
        <v>233.11988879152398</v>
      </c>
      <c r="L64" s="26">
        <f t="shared" si="11"/>
        <v>436.04698449684827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>
      <c r="A65" s="26"/>
      <c r="B65" s="26"/>
      <c r="C65" s="26"/>
      <c r="D65" s="26"/>
      <c r="E65" s="26"/>
      <c r="F65" s="26"/>
      <c r="G65" s="26"/>
      <c r="H65" s="26">
        <f t="shared" si="12"/>
        <v>70.150000000000006</v>
      </c>
      <c r="I65" s="26">
        <f t="shared" si="8"/>
        <v>266.06432660983455</v>
      </c>
      <c r="J65" s="26">
        <f t="shared" si="9"/>
        <v>422.14519473313908</v>
      </c>
      <c r="K65" s="26">
        <f t="shared" si="10"/>
        <v>242.3234065139504</v>
      </c>
      <c r="L65" s="26">
        <f t="shared" si="11"/>
        <v>445.8861148290232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>
      <c r="A66" s="26"/>
      <c r="B66" s="26"/>
      <c r="C66" s="26"/>
      <c r="D66" s="26"/>
      <c r="E66" s="26"/>
      <c r="F66" s="26"/>
      <c r="G66" s="26"/>
      <c r="H66" s="26">
        <f t="shared" si="12"/>
        <v>72.14</v>
      </c>
      <c r="I66" s="26">
        <f t="shared" si="8"/>
        <v>275.33134161680448</v>
      </c>
      <c r="J66" s="26">
        <f t="shared" si="9"/>
        <v>431.92082778077076</v>
      </c>
      <c r="K66" s="26">
        <f t="shared" si="10"/>
        <v>251.51305739290223</v>
      </c>
      <c r="L66" s="26">
        <f t="shared" si="11"/>
        <v>455.73911200467302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>
      <c r="A67" s="26"/>
      <c r="B67" s="26"/>
      <c r="C67" s="26"/>
      <c r="D67" s="26"/>
      <c r="E67" s="26"/>
      <c r="F67" s="26"/>
      <c r="G67" s="26"/>
      <c r="H67" s="26">
        <f t="shared" si="12"/>
        <v>74.13</v>
      </c>
      <c r="I67" s="26">
        <f t="shared" si="8"/>
        <v>284.58782753402602</v>
      </c>
      <c r="J67" s="26">
        <f t="shared" si="9"/>
        <v>441.70698991815061</v>
      </c>
      <c r="K67" s="26">
        <f t="shared" si="10"/>
        <v>260.68897609538004</v>
      </c>
      <c r="L67" s="26">
        <f t="shared" si="11"/>
        <v>465.60584135679659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>
      <c r="A68" s="26"/>
      <c r="B68" s="26"/>
      <c r="C68" s="26"/>
      <c r="D68" s="26"/>
      <c r="E68" s="26"/>
      <c r="F68" s="26"/>
      <c r="G68" s="26"/>
      <c r="H68" s="26">
        <f t="shared" si="12"/>
        <v>76.11999999999999</v>
      </c>
      <c r="I68" s="26">
        <f t="shared" si="8"/>
        <v>293.8338904758366</v>
      </c>
      <c r="J68" s="26">
        <f t="shared" si="9"/>
        <v>451.50357503094142</v>
      </c>
      <c r="K68" s="26">
        <f t="shared" si="10"/>
        <v>269.8513010170899</v>
      </c>
      <c r="L68" s="26">
        <f t="shared" si="11"/>
        <v>475.48616448968812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>
      <c r="A69" s="26"/>
      <c r="B69" s="26"/>
      <c r="C69" s="26"/>
      <c r="D69" s="26"/>
      <c r="E69" s="26"/>
      <c r="F69" s="26"/>
      <c r="G69" s="26"/>
      <c r="H69" s="26">
        <f t="shared" si="12"/>
        <v>78.109999999999985</v>
      </c>
      <c r="I69" s="26">
        <f t="shared" si="8"/>
        <v>303.06963922721167</v>
      </c>
      <c r="J69" s="26">
        <f t="shared" si="9"/>
        <v>461.31047433416796</v>
      </c>
      <c r="K69" s="26">
        <f t="shared" si="10"/>
        <v>279.00017403681852</v>
      </c>
      <c r="L69" s="26">
        <f t="shared" si="11"/>
        <v>485.37993952456111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>
      <c r="A70" s="26"/>
      <c r="B70" s="26"/>
      <c r="C70" s="26"/>
      <c r="D70" s="26"/>
      <c r="E70" s="26"/>
      <c r="F70" s="26"/>
      <c r="G70" s="26"/>
      <c r="H70" s="26">
        <f t="shared" si="12"/>
        <v>80.09999999999998</v>
      </c>
      <c r="I70" s="26">
        <f t="shared" si="8"/>
        <v>312.2951850554694</v>
      </c>
      <c r="J70" s="26">
        <f t="shared" si="9"/>
        <v>471.12757656051161</v>
      </c>
      <c r="K70" s="26">
        <f t="shared" si="10"/>
        <v>288.13574027085673</v>
      </c>
      <c r="L70" s="26">
        <f t="shared" si="11"/>
        <v>495.28702134512429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>
      <c r="A71" s="26"/>
      <c r="B71" s="26"/>
      <c r="C71" s="26"/>
      <c r="D71" s="26"/>
      <c r="E71" s="26"/>
      <c r="F71" s="26"/>
      <c r="G71" s="26"/>
      <c r="H71" s="26">
        <f t="shared" si="12"/>
        <v>82.089999999999975</v>
      </c>
      <c r="I71" s="26">
        <f t="shared" si="8"/>
        <v>321.51064152265104</v>
      </c>
      <c r="J71" s="26">
        <f t="shared" si="9"/>
        <v>480.95476814793136</v>
      </c>
      <c r="K71" s="26">
        <f t="shared" si="10"/>
        <v>297.25814782830298</v>
      </c>
      <c r="L71" s="26">
        <f t="shared" si="11"/>
        <v>505.20726184227942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>
      <c r="A72" s="26"/>
      <c r="B72" s="26"/>
      <c r="C72" s="26"/>
      <c r="D72" s="26"/>
      <c r="E72" s="26"/>
      <c r="F72" s="26"/>
      <c r="G72" s="26"/>
      <c r="H72" s="26">
        <f t="shared" si="12"/>
        <v>84.07999999999997</v>
      </c>
      <c r="I72" s="26">
        <f t="shared" si="8"/>
        <v>330.71612429917712</v>
      </c>
      <c r="J72" s="26">
        <f t="shared" si="9"/>
        <v>490.79193342600689</v>
      </c>
      <c r="K72" s="26">
        <f t="shared" si="10"/>
        <v>306.36754756803174</v>
      </c>
      <c r="L72" s="26">
        <f t="shared" si="11"/>
        <v>515.14051015715222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>
      <c r="A73" s="26"/>
      <c r="B73" s="26"/>
      <c r="C73" s="26"/>
      <c r="D73" s="26"/>
      <c r="E73" s="26"/>
      <c r="F73" s="26"/>
      <c r="G73" s="26"/>
      <c r="H73" s="26">
        <f t="shared" si="12"/>
        <v>86.069999999999965</v>
      </c>
      <c r="I73" s="26">
        <f t="shared" si="8"/>
        <v>339.91175097935206</v>
      </c>
      <c r="J73" s="26">
        <f t="shared" si="9"/>
        <v>500.63895480043334</v>
      </c>
      <c r="K73" s="26">
        <f t="shared" si="10"/>
        <v>315.46409285807181</v>
      </c>
      <c r="L73" s="26">
        <f t="shared" si="11"/>
        <v>525.08661292171359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>
      <c r="A74" s="26"/>
      <c r="B74" s="26"/>
      <c r="C74" s="26"/>
      <c r="D74" s="26"/>
      <c r="E74" s="26"/>
      <c r="F74" s="26"/>
      <c r="G74" s="26"/>
      <c r="H74" s="26">
        <f t="shared" si="12"/>
        <v>88.05999999999996</v>
      </c>
      <c r="I74" s="26">
        <f t="shared" si="8"/>
        <v>349.09764089925062</v>
      </c>
      <c r="J74" s="26">
        <f t="shared" si="9"/>
        <v>510.4957129351364</v>
      </c>
      <c r="K74" s="26">
        <f t="shared" si="10"/>
        <v>324.54793933809185</v>
      </c>
      <c r="L74" s="26">
        <f t="shared" si="11"/>
        <v>535.04541449629517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>
      <c r="A75" s="26"/>
      <c r="B75" s="26"/>
      <c r="C75" s="26"/>
      <c r="D75" s="26"/>
      <c r="E75" s="26"/>
      <c r="F75" s="26"/>
      <c r="G75" s="26"/>
      <c r="H75" s="26">
        <f t="shared" si="12"/>
        <v>90.049999999999955</v>
      </c>
      <c r="I75" s="26">
        <f t="shared" si="8"/>
        <v>358.27391495748049</v>
      </c>
      <c r="J75" s="26">
        <f t="shared" si="9"/>
        <v>520.36208693150797</v>
      </c>
      <c r="K75" s="26">
        <f t="shared" si="10"/>
        <v>333.61924468563603</v>
      </c>
      <c r="L75" s="26">
        <f t="shared" si="11"/>
        <v>545.01675720335231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>
      <c r="A76" s="26"/>
      <c r="B76" s="26"/>
      <c r="C76" s="26"/>
      <c r="D76" s="26"/>
      <c r="E76" s="26"/>
      <c r="F76" s="26"/>
      <c r="G76" s="26"/>
      <c r="H76" s="26">
        <f t="shared" si="12"/>
        <v>92.039999999999949</v>
      </c>
      <c r="I76" s="26">
        <f t="shared" si="8"/>
        <v>367.44069543928038</v>
      </c>
      <c r="J76" s="26">
        <f t="shared" si="9"/>
        <v>530.23795450430941</v>
      </c>
      <c r="K76" s="26">
        <f t="shared" si="10"/>
        <v>342.67816838671126</v>
      </c>
      <c r="L76" s="26">
        <f t="shared" si="11"/>
        <v>555.00048155687853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>
      <c r="A77" s="26"/>
      <c r="B77" s="26"/>
      <c r="C77" s="26"/>
      <c r="D77" s="26"/>
      <c r="E77" s="26"/>
      <c r="F77" s="26"/>
      <c r="G77" s="26"/>
      <c r="H77" s="26">
        <f t="shared" si="12"/>
        <v>94.029999999999944</v>
      </c>
      <c r="I77" s="26">
        <f t="shared" si="8"/>
        <v>376.59810584436951</v>
      </c>
      <c r="J77" s="26">
        <f t="shared" si="9"/>
        <v>540.12319215382183</v>
      </c>
      <c r="K77" s="26">
        <f t="shared" si="10"/>
        <v>351.72487151126552</v>
      </c>
      <c r="L77" s="26">
        <f t="shared" si="11"/>
        <v>564.99642648692588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>
      <c r="A78" s="26"/>
      <c r="B78" s="26"/>
      <c r="C78" s="26"/>
      <c r="D78" s="26"/>
      <c r="E78" s="26"/>
      <c r="F78" s="26"/>
      <c r="G78" s="26"/>
      <c r="H78" s="26">
        <f t="shared" si="12"/>
        <v>96.019999999999939</v>
      </c>
      <c r="I78" s="26">
        <f t="shared" si="8"/>
        <v>385.74627071892712</v>
      </c>
      <c r="J78" s="26">
        <f t="shared" si="9"/>
        <v>550.01767533386567</v>
      </c>
      <c r="K78" s="26">
        <f t="shared" si="10"/>
        <v>360.75951649405357</v>
      </c>
      <c r="L78" s="26">
        <f t="shared" si="11"/>
        <v>575.00442955873928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>
      <c r="A79" s="26"/>
      <c r="B79" s="26"/>
      <c r="C79" s="26"/>
      <c r="D79" s="26"/>
      <c r="E79" s="26"/>
      <c r="F79" s="26"/>
      <c r="G79" s="26"/>
      <c r="H79" s="26">
        <f t="shared" si="12"/>
        <v>98.009999999999934</v>
      </c>
      <c r="I79" s="26">
        <f t="shared" si="8"/>
        <v>394.88531549204095</v>
      </c>
      <c r="J79" s="26">
        <f t="shared" si="9"/>
        <v>559.92127861535323</v>
      </c>
      <c r="K79" s="26">
        <f t="shared" si="10"/>
        <v>369.78226692133137</v>
      </c>
      <c r="L79" s="26">
        <f t="shared" si="11"/>
        <v>585.02432718606281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:23">
      <c r="A80" s="26"/>
      <c r="B80" s="26"/>
      <c r="C80" s="26"/>
      <c r="D80" s="26"/>
      <c r="E80" s="26"/>
      <c r="F80" s="26"/>
      <c r="G80" s="26"/>
      <c r="H80" s="26">
        <f t="shared" si="12"/>
        <v>99.999999999999929</v>
      </c>
      <c r="I80" s="26">
        <f t="shared" si="8"/>
        <v>404.01536631692306</v>
      </c>
      <c r="J80" s="26">
        <f t="shared" si="9"/>
        <v>569.83387584507273</v>
      </c>
      <c r="K80" s="26">
        <f t="shared" si="10"/>
        <v>378.79328732376678</v>
      </c>
      <c r="L80" s="26">
        <f t="shared" si="11"/>
        <v>595.05595483822901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:2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:2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:22">
      <c r="A83" s="26"/>
      <c r="B83" s="26"/>
      <c r="C83" s="26"/>
      <c r="D83" s="26"/>
      <c r="E83" s="26"/>
      <c r="F83" s="26"/>
      <c r="H83" s="26"/>
      <c r="I83" s="26"/>
      <c r="J83" s="26"/>
      <c r="K83" s="26"/>
      <c r="L83" s="26"/>
    </row>
    <row r="84" spans="1:22">
      <c r="A84" s="26"/>
      <c r="B84" s="26"/>
      <c r="C84" s="26"/>
      <c r="D84" s="26"/>
      <c r="E84" s="26"/>
      <c r="F84" s="26"/>
      <c r="H84" s="26"/>
      <c r="I84" s="26"/>
      <c r="J84" s="26"/>
      <c r="K84" s="26"/>
      <c r="L84" s="26"/>
    </row>
  </sheetData>
  <mergeCells count="7">
    <mergeCell ref="H28:L28"/>
    <mergeCell ref="D52:E52"/>
    <mergeCell ref="F52:G52"/>
    <mergeCell ref="E44:F44"/>
    <mergeCell ref="C44:D44"/>
    <mergeCell ref="C47:D47"/>
    <mergeCell ref="E47:F47"/>
  </mergeCells>
  <phoneticPr fontId="0" type="noConversion"/>
  <pageMargins left="0.75" right="0.75" top="1" bottom="1" header="0.5" footer="0.5"/>
  <pageSetup paperSize="9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143</vt:i4>
      </vt:variant>
    </vt:vector>
  </HeadingPairs>
  <TitlesOfParts>
    <vt:vector size="149" baseType="lpstr">
      <vt:lpstr>data_and_report</vt:lpstr>
      <vt:lpstr>Residual plots</vt:lpstr>
      <vt:lpstr>Measured data</vt:lpstr>
      <vt:lpstr>InterDay</vt:lpstr>
      <vt:lpstr>Control of Calibration</vt:lpstr>
      <vt:lpstr>Formulas_and_calculations</vt:lpstr>
      <vt:lpstr>_ky1</vt:lpstr>
      <vt:lpstr>_ky2</vt:lpstr>
      <vt:lpstr>_ky3</vt:lpstr>
      <vt:lpstr>_ky4</vt:lpstr>
      <vt:lpstr>_ky5</vt:lpstr>
      <vt:lpstr>_ky6</vt:lpstr>
      <vt:lpstr>_ky7</vt:lpstr>
      <vt:lpstr>_ky8</vt:lpstr>
      <vt:lpstr>_ky9</vt:lpstr>
      <vt:lpstr>alle_x_data</vt:lpstr>
      <vt:lpstr>alle_x_quad</vt:lpstr>
      <vt:lpstr>alle_y_data</vt:lpstr>
      <vt:lpstr>alle_y_etsimeret</vt:lpstr>
      <vt:lpstr>areaynultest</vt:lpstr>
      <vt:lpstr>dfree</vt:lpstr>
      <vt:lpstr>estmaaltx</vt:lpstr>
      <vt:lpstr>gval_95</vt:lpstr>
      <vt:lpstr>gval_99</vt:lpstr>
      <vt:lpstr>highmaaltx95</vt:lpstr>
      <vt:lpstr>highmaaltx99</vt:lpstr>
      <vt:lpstr>intercept</vt:lpstr>
      <vt:lpstr>kdfree</vt:lpstr>
      <vt:lpstr>kGværdi__95</vt:lpstr>
      <vt:lpstr>kGværdi__99</vt:lpstr>
      <vt:lpstr>kintercept</vt:lpstr>
      <vt:lpstr>kMS_reg</vt:lpstr>
      <vt:lpstr>kNdata</vt:lpstr>
      <vt:lpstr>koncentrationsenhed</vt:lpstr>
      <vt:lpstr>kontrolX1</vt:lpstr>
      <vt:lpstr>KontrolX2</vt:lpstr>
      <vt:lpstr>KontrolX3</vt:lpstr>
      <vt:lpstr>kS_xx</vt:lpstr>
      <vt:lpstr>kS_xy</vt:lpstr>
      <vt:lpstr>kS_yy</vt:lpstr>
      <vt:lpstr>kS_yyestd</vt:lpstr>
      <vt:lpstr>kslope</vt:lpstr>
      <vt:lpstr>ksqrtsquare</vt:lpstr>
      <vt:lpstr>kSsquare</vt:lpstr>
      <vt:lpstr>kSumSquares</vt:lpstr>
      <vt:lpstr>kSumxsquare</vt:lpstr>
      <vt:lpstr>kSumysquare</vt:lpstr>
      <vt:lpstr>ksvalue</vt:lpstr>
      <vt:lpstr>ktval_95</vt:lpstr>
      <vt:lpstr>ktval_99</vt:lpstr>
      <vt:lpstr>kxmean</vt:lpstr>
      <vt:lpstr>kXstart</vt:lpstr>
      <vt:lpstr>kXstop</vt:lpstr>
      <vt:lpstr>kymean</vt:lpstr>
      <vt:lpstr>level1</vt:lpstr>
      <vt:lpstr>level2</vt:lpstr>
      <vt:lpstr>level3</vt:lpstr>
      <vt:lpstr>level4</vt:lpstr>
      <vt:lpstr>level5</vt:lpstr>
      <vt:lpstr>level6</vt:lpstr>
      <vt:lpstr>level7</vt:lpstr>
      <vt:lpstr>lowmaaltx95</vt:lpstr>
      <vt:lpstr>lowmaaltx99</vt:lpstr>
      <vt:lpstr>m__2_1</vt:lpstr>
      <vt:lpstr>m_1</vt:lpstr>
      <vt:lpstr>m_1_1</vt:lpstr>
      <vt:lpstr>m_1_2</vt:lpstr>
      <vt:lpstr>m_1_3</vt:lpstr>
      <vt:lpstr>m_1_9</vt:lpstr>
      <vt:lpstr>m_10</vt:lpstr>
      <vt:lpstr>m_11</vt:lpstr>
      <vt:lpstr>m_12</vt:lpstr>
      <vt:lpstr>m_13</vt:lpstr>
      <vt:lpstr>m_14</vt:lpstr>
      <vt:lpstr>m_15</vt:lpstr>
      <vt:lpstr>m_2</vt:lpstr>
      <vt:lpstr>m_2_1</vt:lpstr>
      <vt:lpstr>m_2_2</vt:lpstr>
      <vt:lpstr>m_2_3</vt:lpstr>
      <vt:lpstr>m_2_8</vt:lpstr>
      <vt:lpstr>m_3</vt:lpstr>
      <vt:lpstr>m_3_1</vt:lpstr>
      <vt:lpstr>m_3_2</vt:lpstr>
      <vt:lpstr>m_3_3</vt:lpstr>
      <vt:lpstr>m_3_4</vt:lpstr>
      <vt:lpstr>m_4</vt:lpstr>
      <vt:lpstr>m_4_1</vt:lpstr>
      <vt:lpstr>m_4_3</vt:lpstr>
      <vt:lpstr>m_4_6</vt:lpstr>
      <vt:lpstr>m_5</vt:lpstr>
      <vt:lpstr>m_5_2</vt:lpstr>
      <vt:lpstr>m_5_3</vt:lpstr>
      <vt:lpstr>m_5_7</vt:lpstr>
      <vt:lpstr>m_6</vt:lpstr>
      <vt:lpstr>m_6_1</vt:lpstr>
      <vt:lpstr>m_6_3</vt:lpstr>
      <vt:lpstr>m_7</vt:lpstr>
      <vt:lpstr>m_7_1</vt:lpstr>
      <vt:lpstr>m_7_9</vt:lpstr>
      <vt:lpstr>m_8</vt:lpstr>
      <vt:lpstr>m_9</vt:lpstr>
      <vt:lpstr>meanxy</vt:lpstr>
      <vt:lpstr>MS_reg</vt:lpstr>
      <vt:lpstr>maalt_Y</vt:lpstr>
      <vt:lpstr>Ndata</vt:lpstr>
      <vt:lpstr>overskrift</vt:lpstr>
      <vt:lpstr>Replikater_maalt</vt:lpstr>
      <vt:lpstr>repmaal</vt:lpstr>
      <vt:lpstr>Residualer</vt:lpstr>
      <vt:lpstr>responsenhed</vt:lpstr>
      <vt:lpstr>responsfaktor</vt:lpstr>
      <vt:lpstr>S_xx</vt:lpstr>
      <vt:lpstr>S_xy</vt:lpstr>
      <vt:lpstr>S_yy</vt:lpstr>
      <vt:lpstr>S_yyestd</vt:lpstr>
      <vt:lpstr>slope</vt:lpstr>
      <vt:lpstr>sqrtsquare</vt:lpstr>
      <vt:lpstr>Ssquare</vt:lpstr>
      <vt:lpstr>SumSquares</vt:lpstr>
      <vt:lpstr>Sumxsquare</vt:lpstr>
      <vt:lpstr>Sumysquare</vt:lpstr>
      <vt:lpstr>svalue</vt:lpstr>
      <vt:lpstr>tval_95</vt:lpstr>
      <vt:lpstr>tval_99</vt:lpstr>
      <vt:lpstr>data_and_report!Udskriftsområde</vt:lpstr>
      <vt:lpstr>X_detail</vt:lpstr>
      <vt:lpstr>x_quad</vt:lpstr>
      <vt:lpstr>xmean</vt:lpstr>
      <vt:lpstr>Xstart</vt:lpstr>
      <vt:lpstr>Xstop</vt:lpstr>
      <vt:lpstr>y_1</vt:lpstr>
      <vt:lpstr>y_10</vt:lpstr>
      <vt:lpstr>y_11</vt:lpstr>
      <vt:lpstr>y_12</vt:lpstr>
      <vt:lpstr>y_13</vt:lpstr>
      <vt:lpstr>y_14</vt:lpstr>
      <vt:lpstr>y_15</vt:lpstr>
      <vt:lpstr>y_2</vt:lpstr>
      <vt:lpstr>y_3</vt:lpstr>
      <vt:lpstr>y_4</vt:lpstr>
      <vt:lpstr>y_5</vt:lpstr>
      <vt:lpstr>y_6</vt:lpstr>
      <vt:lpstr>y_7</vt:lpstr>
      <vt:lpstr>y_8</vt:lpstr>
      <vt:lpstr>y_9</vt:lpstr>
      <vt:lpstr>Y_L</vt:lpstr>
      <vt:lpstr>Y_U</vt:lpstr>
      <vt:lpstr>yestmean</vt:lpstr>
      <vt:lpstr>ymean</vt:lpstr>
    </vt:vector>
  </TitlesOfParts>
  <Company>DFH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Claus Cornett</cp:lastModifiedBy>
  <cp:lastPrinted>2020-07-02T09:40:18Z</cp:lastPrinted>
  <dcterms:created xsi:type="dcterms:W3CDTF">2001-09-13T14:21:17Z</dcterms:created>
  <dcterms:modified xsi:type="dcterms:W3CDTF">2023-09-15T11:13:51Z</dcterms:modified>
</cp:coreProperties>
</file>